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2595" yWindow="600" windowWidth="19320" windowHeight="10800" activeTab="0"/>
  </bookViews>
  <sheets>
    <sheet name="Eingabe" sheetId="1" r:id="rId1"/>
    <sheet name="Breite" sheetId="2" state="hidden" r:id="rId2"/>
    <sheet name="Höhe" sheetId="3" state="hidden" r:id="rId3"/>
    <sheet name="Zubehöhr" sheetId="4" state="hidden" r:id="rId4"/>
  </sheets>
  <definedNames>
    <definedName name="_xlnm.Print_Area" localSheetId="0">'Eingabe'!$A$1:$Q$50</definedName>
  </definedNames>
  <calcPr fullCalcOnLoad="1"/>
</workbook>
</file>

<file path=xl/sharedStrings.xml><?xml version="1.0" encoding="utf-8"?>
<sst xmlns="http://schemas.openxmlformats.org/spreadsheetml/2006/main" count="178" uniqueCount="66">
  <si>
    <t>BREITE</t>
  </si>
  <si>
    <t>Artikel</t>
  </si>
  <si>
    <t>Länge</t>
  </si>
  <si>
    <t>Stück</t>
  </si>
  <si>
    <t>A</t>
  </si>
  <si>
    <t>B</t>
  </si>
  <si>
    <t>C</t>
  </si>
  <si>
    <t>D</t>
  </si>
  <si>
    <t>Stufe 1</t>
  </si>
  <si>
    <t>Ergebnis</t>
  </si>
  <si>
    <t>Stufe 2</t>
  </si>
  <si>
    <t>Stufe 3</t>
  </si>
  <si>
    <t>Ergebnis 1</t>
  </si>
  <si>
    <t>Zuschnitt</t>
  </si>
  <si>
    <t>Ergebnis 2</t>
  </si>
  <si>
    <t>Ergebnis 3</t>
  </si>
  <si>
    <t>Ergebnis 4</t>
  </si>
  <si>
    <t>Verschnitt</t>
  </si>
  <si>
    <t>Länge tot</t>
  </si>
  <si>
    <t>HÖHE</t>
  </si>
  <si>
    <t>width (mm)</t>
  </si>
  <si>
    <t>height (mm)</t>
  </si>
  <si>
    <t>AFP1000 (740mm)</t>
  </si>
  <si>
    <t>AFP2000 (1740mm)</t>
  </si>
  <si>
    <t>AFP3000 (2740mm)</t>
  </si>
  <si>
    <t>AFP4000 (3740mm)</t>
  </si>
  <si>
    <t>wall support</t>
  </si>
  <si>
    <t>wandhalterung:</t>
  </si>
  <si>
    <t xml:space="preserve">breite </t>
  </si>
  <si>
    <t>höhe</t>
  </si>
  <si>
    <t>runden</t>
  </si>
  <si>
    <t xml:space="preserve">AFAN04AR  </t>
  </si>
  <si>
    <t xml:space="preserve">AFWH01 </t>
  </si>
  <si>
    <t>pcs</t>
  </si>
  <si>
    <t>AFDD1914</t>
  </si>
  <si>
    <t>nutsteine</t>
  </si>
  <si>
    <t>aurunden</t>
  </si>
  <si>
    <t>clips</t>
  </si>
  <si>
    <t>AFC20GR</t>
  </si>
  <si>
    <t>set (20pcs)</t>
  </si>
  <si>
    <t>aufrunden set</t>
  </si>
  <si>
    <t>roll 50m</t>
  </si>
  <si>
    <t>gummiexpander</t>
  </si>
  <si>
    <t>silikonoringe+clamp</t>
  </si>
  <si>
    <t>gummiband</t>
  </si>
  <si>
    <t>aufrunden</t>
  </si>
  <si>
    <t>ACL3540WE</t>
  </si>
  <si>
    <t>profile dimensions: width (mm)</t>
  </si>
  <si>
    <t>banner dimensions: width (mm)</t>
  </si>
  <si>
    <t>or</t>
  </si>
  <si>
    <t>mm</t>
  </si>
  <si>
    <t>pls enter your OUTER dimension</t>
  </si>
  <si>
    <t>corner connector</t>
  </si>
  <si>
    <t>banner clips</t>
  </si>
  <si>
    <t>order according to your choice of banner mounting:</t>
  </si>
  <si>
    <t>set (4pcs)</t>
  </si>
  <si>
    <t>set (5pcs)</t>
  </si>
  <si>
    <t>Verbinder</t>
  </si>
  <si>
    <t>AFCON02</t>
  </si>
  <si>
    <t>set (2pcs)</t>
  </si>
  <si>
    <t>SOKEY4</t>
  </si>
  <si>
    <t>jkjkj</t>
  </si>
  <si>
    <t>angelframe:request</t>
  </si>
  <si>
    <t>kunst@kunst.it</t>
  </si>
  <si>
    <t>*</t>
  </si>
  <si>
    <r>
      <rPr>
        <b/>
        <i/>
        <sz val="22"/>
        <color indexed="53"/>
        <rFont val="Calibri"/>
        <family val="2"/>
      </rPr>
      <t>*</t>
    </r>
    <r>
      <rPr>
        <b/>
        <i/>
        <sz val="11.5"/>
        <color indexed="53"/>
        <rFont val="Calibri"/>
        <family val="2"/>
      </rPr>
      <t xml:space="preserve">  </t>
    </r>
    <r>
      <rPr>
        <b/>
        <i/>
        <sz val="12"/>
        <color indexed="53"/>
        <rFont val="Calibri"/>
        <family val="2"/>
      </rPr>
      <t xml:space="preserve">AFCON02 available from september 2010. for information regarding possible alternatives please contact us and we will be delighted to help </t>
    </r>
    <r>
      <rPr>
        <b/>
        <i/>
        <sz val="11.5"/>
        <color indexed="53"/>
        <rFont val="Calibri"/>
        <family val="2"/>
      </rPr>
      <t xml:space="preserve">you.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</si>
</sst>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0">
    <font>
      <sz val="8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53"/>
      <name val="Calibri"/>
      <family val="2"/>
    </font>
    <font>
      <b/>
      <sz val="10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name val="Calibri"/>
      <family val="2"/>
    </font>
    <font>
      <sz val="8"/>
      <color indexed="23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36"/>
      <name val="Calibri"/>
      <family val="2"/>
    </font>
    <font>
      <sz val="8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62"/>
      <name val="Calibri"/>
      <family val="2"/>
    </font>
    <font>
      <sz val="8"/>
      <name val="Tahoma"/>
      <family val="2"/>
    </font>
    <font>
      <b/>
      <sz val="8"/>
      <color indexed="23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3"/>
      <name val="Calibri"/>
      <family val="2"/>
    </font>
    <font>
      <sz val="16"/>
      <color indexed="53"/>
      <name val="Calibri"/>
      <family val="2"/>
    </font>
    <font>
      <b/>
      <sz val="8"/>
      <color indexed="8"/>
      <name val="Calibri"/>
      <family val="2"/>
    </font>
    <font>
      <b/>
      <i/>
      <sz val="12"/>
      <color indexed="53"/>
      <name val="Calibri"/>
      <family val="2"/>
    </font>
    <font>
      <b/>
      <i/>
      <sz val="11.5"/>
      <color indexed="53"/>
      <name val="Calibri"/>
      <family val="2"/>
    </font>
    <font>
      <b/>
      <i/>
      <sz val="22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8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8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.5"/>
      <color theme="9" tint="-0.24997000396251678"/>
      <name val="Calibri"/>
      <family val="2"/>
    </font>
    <font>
      <sz val="16"/>
      <color theme="9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30" borderId="4" applyNumberFormat="0" applyFont="0" applyAlignment="0" applyProtection="0"/>
    <xf numFmtId="9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35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left"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left"/>
      <protection hidden="1"/>
    </xf>
    <xf numFmtId="0" fontId="16" fillId="37" borderId="13" xfId="0" applyFont="1" applyFill="1" applyBorder="1" applyAlignment="1" applyProtection="1">
      <alignment horizontal="left"/>
      <protection hidden="1"/>
    </xf>
    <xf numFmtId="0" fontId="15" fillId="37" borderId="14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14" xfId="0" applyFont="1" applyFill="1" applyBorder="1" applyAlignment="1" applyProtection="1">
      <alignment horizontal="left"/>
      <protection hidden="1"/>
    </xf>
    <xf numFmtId="0" fontId="15" fillId="37" borderId="15" xfId="0" applyFont="1" applyFill="1" applyBorder="1" applyAlignment="1" applyProtection="1">
      <alignment/>
      <protection hidden="1"/>
    </xf>
    <xf numFmtId="0" fontId="15" fillId="37" borderId="0" xfId="0" applyFont="1" applyFill="1" applyAlignment="1" applyProtection="1">
      <alignment/>
      <protection hidden="1"/>
    </xf>
    <xf numFmtId="0" fontId="0" fillId="37" borderId="13" xfId="0" applyFill="1" applyBorder="1" applyAlignment="1" applyProtection="1">
      <alignment/>
      <protection hidden="1"/>
    </xf>
    <xf numFmtId="0" fontId="18" fillId="37" borderId="0" xfId="0" applyFont="1" applyFill="1" applyBorder="1" applyAlignment="1" applyProtection="1">
      <alignment/>
      <protection hidden="1"/>
    </xf>
    <xf numFmtId="0" fontId="18" fillId="37" borderId="0" xfId="0" applyFont="1" applyFill="1" applyBorder="1" applyAlignment="1" applyProtection="1">
      <alignment horizontal="left"/>
      <protection hidden="1"/>
    </xf>
    <xf numFmtId="0" fontId="0" fillId="37" borderId="16" xfId="0" applyFill="1" applyBorder="1" applyAlignment="1" applyProtection="1">
      <alignment/>
      <protection hidden="1"/>
    </xf>
    <xf numFmtId="0" fontId="10" fillId="37" borderId="13" xfId="0" applyFont="1" applyFill="1" applyBorder="1" applyAlignment="1" applyProtection="1">
      <alignment horizontal="right"/>
      <protection hidden="1"/>
    </xf>
    <xf numFmtId="0" fontId="3" fillId="37" borderId="0" xfId="0" applyFont="1" applyFill="1" applyBorder="1" applyAlignment="1" applyProtection="1">
      <alignment horizontal="right"/>
      <protection hidden="1"/>
    </xf>
    <xf numFmtId="0" fontId="3" fillId="37" borderId="0" xfId="0" applyFont="1" applyFill="1" applyBorder="1" applyAlignment="1" applyProtection="1">
      <alignment/>
      <protection hidden="1"/>
    </xf>
    <xf numFmtId="0" fontId="19" fillId="37" borderId="0" xfId="0" applyFont="1" applyFill="1" applyBorder="1" applyAlignment="1" applyProtection="1">
      <alignment/>
      <protection hidden="1"/>
    </xf>
    <xf numFmtId="0" fontId="19" fillId="37" borderId="0" xfId="0" applyFont="1" applyFill="1" applyBorder="1" applyAlignment="1" applyProtection="1">
      <alignment horizontal="left"/>
      <protection hidden="1"/>
    </xf>
    <xf numFmtId="0" fontId="15" fillId="37" borderId="13" xfId="0" applyFont="1" applyFill="1" applyBorder="1" applyAlignment="1" applyProtection="1">
      <alignment horizontal="right"/>
      <protection hidden="1"/>
    </xf>
    <xf numFmtId="0" fontId="15" fillId="37" borderId="0" xfId="0" applyFont="1" applyFill="1" applyBorder="1" applyAlignment="1" applyProtection="1">
      <alignment horizontal="right"/>
      <protection hidden="1"/>
    </xf>
    <xf numFmtId="0" fontId="15" fillId="37" borderId="16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16" xfId="0" applyFont="1" applyFill="1" applyBorder="1" applyAlignment="1" applyProtection="1">
      <alignment/>
      <protection hidden="1"/>
    </xf>
    <xf numFmtId="0" fontId="15" fillId="37" borderId="13" xfId="0" applyFont="1" applyFill="1" applyBorder="1" applyAlignment="1" applyProtection="1">
      <alignment/>
      <protection hidden="1"/>
    </xf>
    <xf numFmtId="0" fontId="9" fillId="37" borderId="13" xfId="0" applyFont="1" applyFill="1" applyBorder="1" applyAlignment="1" applyProtection="1">
      <alignment horizontal="right"/>
      <protection hidden="1"/>
    </xf>
    <xf numFmtId="0" fontId="0" fillId="37" borderId="0" xfId="0" applyFill="1" applyBorder="1" applyAlignment="1" applyProtection="1">
      <alignment horizontal="right"/>
      <protection hidden="1"/>
    </xf>
    <xf numFmtId="0" fontId="5" fillId="37" borderId="0" xfId="0" applyFont="1" applyFill="1" applyBorder="1" applyAlignment="1" applyProtection="1">
      <alignment horizontal="right"/>
      <protection hidden="1"/>
    </xf>
    <xf numFmtId="0" fontId="7" fillId="37" borderId="0" xfId="0" applyFont="1" applyFill="1" applyBorder="1" applyAlignment="1" applyProtection="1">
      <alignment horizontal="left"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left"/>
      <protection hidden="1"/>
    </xf>
    <xf numFmtId="0" fontId="5" fillId="37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 horizontal="left"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0" fontId="11" fillId="37" borderId="13" xfId="0" applyFont="1" applyFill="1" applyBorder="1" applyAlignment="1" applyProtection="1">
      <alignment horizontal="left"/>
      <protection hidden="1"/>
    </xf>
    <xf numFmtId="0" fontId="16" fillId="37" borderId="2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7" fillId="37" borderId="0" xfId="0" applyFont="1" applyFill="1" applyBorder="1" applyAlignment="1" applyProtection="1">
      <alignment horizontal="left" vertical="center"/>
      <protection hidden="1"/>
    </xf>
    <xf numFmtId="0" fontId="3" fillId="38" borderId="21" xfId="0" applyFont="1" applyFill="1" applyBorder="1" applyAlignment="1" applyProtection="1">
      <alignment/>
      <protection hidden="1" locked="0"/>
    </xf>
    <xf numFmtId="0" fontId="8" fillId="39" borderId="22" xfId="0" applyFont="1" applyFill="1" applyBorder="1" applyAlignment="1" applyProtection="1">
      <alignment/>
      <protection hidden="1"/>
    </xf>
    <xf numFmtId="0" fontId="8" fillId="39" borderId="23" xfId="0" applyFont="1" applyFill="1" applyBorder="1" applyAlignment="1" applyProtection="1">
      <alignment/>
      <protection hidden="1"/>
    </xf>
    <xf numFmtId="0" fontId="8" fillId="39" borderId="24" xfId="0" applyFont="1" applyFill="1" applyBorder="1" applyAlignment="1" applyProtection="1">
      <alignment/>
      <protection hidden="1"/>
    </xf>
    <xf numFmtId="0" fontId="18" fillId="39" borderId="21" xfId="0" applyFont="1" applyFill="1" applyBorder="1" applyAlignment="1" applyProtection="1">
      <alignment/>
      <protection hidden="1"/>
    </xf>
    <xf numFmtId="0" fontId="17" fillId="37" borderId="0" xfId="0" applyFont="1" applyFill="1" applyBorder="1" applyAlignment="1" applyProtection="1">
      <alignment horizontal="left"/>
      <protection hidden="1"/>
    </xf>
    <xf numFmtId="0" fontId="16" fillId="37" borderId="0" xfId="0" applyFont="1" applyFill="1" applyBorder="1" applyAlignment="1" applyProtection="1">
      <alignment horizontal="left"/>
      <protection hidden="1"/>
    </xf>
    <xf numFmtId="0" fontId="16" fillId="37" borderId="0" xfId="0" applyFont="1" applyFill="1" applyBorder="1" applyAlignment="1" applyProtection="1">
      <alignment horizontal="center"/>
      <protection hidden="1"/>
    </xf>
    <xf numFmtId="0" fontId="11" fillId="37" borderId="0" xfId="0" applyFont="1" applyFill="1" applyBorder="1" applyAlignment="1" applyProtection="1">
      <alignment horizontal="left"/>
      <protection hidden="1"/>
    </xf>
    <xf numFmtId="0" fontId="0" fillId="37" borderId="25" xfId="0" applyFill="1" applyBorder="1" applyAlignment="1" applyProtection="1">
      <alignment/>
      <protection hidden="1"/>
    </xf>
    <xf numFmtId="0" fontId="9" fillId="37" borderId="0" xfId="0" applyFont="1" applyFill="1" applyBorder="1" applyAlignment="1" applyProtection="1">
      <alignment/>
      <protection hidden="1"/>
    </xf>
    <xf numFmtId="0" fontId="9" fillId="37" borderId="0" xfId="0" applyFont="1" applyFill="1" applyBorder="1" applyAlignment="1" applyProtection="1">
      <alignment horizontal="left"/>
      <protection hidden="1"/>
    </xf>
    <xf numFmtId="0" fontId="17" fillId="37" borderId="0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 horizontal="right"/>
      <protection hidden="1"/>
    </xf>
    <xf numFmtId="0" fontId="9" fillId="37" borderId="0" xfId="0" applyFont="1" applyFill="1" applyBorder="1" applyAlignment="1" applyProtection="1">
      <alignment/>
      <protection hidden="1"/>
    </xf>
    <xf numFmtId="0" fontId="9" fillId="37" borderId="0" xfId="0" applyFont="1" applyFill="1" applyAlignment="1" applyProtection="1">
      <alignment/>
      <protection hidden="1"/>
    </xf>
    <xf numFmtId="0" fontId="0" fillId="37" borderId="0" xfId="0" applyFill="1" applyBorder="1" applyAlignment="1" applyProtection="1">
      <alignment/>
      <protection locked="0"/>
    </xf>
    <xf numFmtId="0" fontId="18" fillId="39" borderId="21" xfId="0" applyFont="1" applyFill="1" applyBorder="1" applyAlignment="1" applyProtection="1">
      <alignment/>
      <protection/>
    </xf>
    <xf numFmtId="0" fontId="9" fillId="37" borderId="0" xfId="0" applyFont="1" applyFill="1" applyBorder="1" applyAlignment="1" applyProtection="1">
      <alignment horizontal="right"/>
      <protection locked="0"/>
    </xf>
    <xf numFmtId="0" fontId="9" fillId="37" borderId="0" xfId="0" applyFont="1" applyFill="1" applyBorder="1" applyAlignment="1" applyProtection="1">
      <alignment/>
      <protection hidden="1" locked="0"/>
    </xf>
    <xf numFmtId="0" fontId="13" fillId="37" borderId="0" xfId="48" applyFill="1" applyBorder="1" applyAlignment="1" applyProtection="1">
      <alignment/>
      <protection hidden="1"/>
    </xf>
    <xf numFmtId="0" fontId="64" fillId="37" borderId="0" xfId="48" applyFont="1" applyFill="1" applyBorder="1" applyAlignment="1" applyProtection="1">
      <alignment/>
      <protection hidden="1"/>
    </xf>
    <xf numFmtId="0" fontId="65" fillId="37" borderId="0" xfId="0" applyFont="1" applyFill="1" applyBorder="1" applyAlignment="1" applyProtection="1">
      <alignment/>
      <protection hidden="1"/>
    </xf>
    <xf numFmtId="0" fontId="23" fillId="40" borderId="13" xfId="48" applyFont="1" applyFill="1" applyBorder="1" applyAlignment="1" applyProtection="1">
      <alignment horizontal="center" vertical="center"/>
      <protection hidden="1" locked="0"/>
    </xf>
    <xf numFmtId="0" fontId="22" fillId="40" borderId="0" xfId="48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6" fillId="37" borderId="0" xfId="0" applyFont="1" applyFill="1" applyBorder="1" applyAlignment="1" applyProtection="1">
      <alignment/>
      <protection hidden="1"/>
    </xf>
    <xf numFmtId="0" fontId="67" fillId="37" borderId="0" xfId="0" applyFont="1" applyFill="1" applyBorder="1" applyAlignment="1" applyProtection="1">
      <alignment/>
      <protection hidden="1"/>
    </xf>
    <xf numFmtId="0" fontId="68" fillId="37" borderId="0" xfId="0" applyFont="1" applyFill="1" applyBorder="1" applyAlignment="1" applyProtection="1">
      <alignment vertical="center"/>
      <protection hidden="1"/>
    </xf>
    <xf numFmtId="0" fontId="69" fillId="37" borderId="0" xfId="0" applyFont="1" applyFill="1" applyBorder="1" applyAlignment="1" applyProtection="1">
      <alignment horizontal="left" vertical="top"/>
      <protection hidden="1"/>
    </xf>
    <xf numFmtId="0" fontId="69" fillId="37" borderId="0" xfId="0" applyFont="1" applyFill="1" applyBorder="1" applyAlignment="1" applyProtection="1">
      <alignment vertical="top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8</xdr:row>
      <xdr:rowOff>9525</xdr:rowOff>
    </xdr:from>
    <xdr:to>
      <xdr:col>13</xdr:col>
      <xdr:colOff>647700</xdr:colOff>
      <xdr:row>16</xdr:row>
      <xdr:rowOff>0</xdr:rowOff>
    </xdr:to>
    <xdr:sp>
      <xdr:nvSpPr>
        <xdr:cNvPr id="1" name="Rechteck 23"/>
        <xdr:cNvSpPr>
          <a:spLocks/>
        </xdr:cNvSpPr>
      </xdr:nvSpPr>
      <xdr:spPr>
        <a:xfrm>
          <a:off x="7143750" y="1504950"/>
          <a:ext cx="1514475" cy="1524000"/>
        </a:xfrm>
        <a:prstGeom prst="rect">
          <a:avLst/>
        </a:prstGeom>
        <a:solidFill>
          <a:srgbClr val="D9D9D9">
            <a:alpha val="50000"/>
          </a:srgbClr>
        </a:solidFill>
        <a:ln w="165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9525</xdr:colOff>
      <xdr:row>44</xdr:row>
      <xdr:rowOff>9525</xdr:rowOff>
    </xdr:from>
    <xdr:to>
      <xdr:col>13</xdr:col>
      <xdr:colOff>47625</xdr:colOff>
      <xdr:row>47</xdr:row>
      <xdr:rowOff>171450</xdr:rowOff>
    </xdr:to>
    <xdr:pic>
      <xdr:nvPicPr>
        <xdr:cNvPr id="2" name="Picture 3" descr="sei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34250" y="8372475"/>
          <a:ext cx="723900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44</xdr:row>
      <xdr:rowOff>9525</xdr:rowOff>
    </xdr:from>
    <xdr:to>
      <xdr:col>1</xdr:col>
      <xdr:colOff>904875</xdr:colOff>
      <xdr:row>47</xdr:row>
      <xdr:rowOff>161925</xdr:rowOff>
    </xdr:to>
    <xdr:pic>
      <xdr:nvPicPr>
        <xdr:cNvPr id="3" name="Picture 5" descr="expanderhack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5300" y="8372475"/>
          <a:ext cx="714375" cy="723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238125</xdr:colOff>
      <xdr:row>28</xdr:row>
      <xdr:rowOff>9525</xdr:rowOff>
    </xdr:from>
    <xdr:to>
      <xdr:col>6</xdr:col>
      <xdr:colOff>952500</xdr:colOff>
      <xdr:row>31</xdr:row>
      <xdr:rowOff>161925</xdr:rowOff>
    </xdr:to>
    <xdr:pic>
      <xdr:nvPicPr>
        <xdr:cNvPr id="4" name="Picture 6" descr="nutstei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52900" y="5324475"/>
          <a:ext cx="714375" cy="723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36</xdr:row>
      <xdr:rowOff>19050</xdr:rowOff>
    </xdr:from>
    <xdr:to>
      <xdr:col>1</xdr:col>
      <xdr:colOff>895350</xdr:colOff>
      <xdr:row>39</xdr:row>
      <xdr:rowOff>180975</xdr:rowOff>
    </xdr:to>
    <xdr:pic>
      <xdr:nvPicPr>
        <xdr:cNvPr id="5" name="Picture 10" descr="clips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6250" y="6858000"/>
          <a:ext cx="723900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238125</xdr:colOff>
      <xdr:row>43</xdr:row>
      <xdr:rowOff>180975</xdr:rowOff>
    </xdr:from>
    <xdr:to>
      <xdr:col>6</xdr:col>
      <xdr:colOff>952500</xdr:colOff>
      <xdr:row>47</xdr:row>
      <xdr:rowOff>152400</xdr:rowOff>
    </xdr:to>
    <xdr:pic>
      <xdr:nvPicPr>
        <xdr:cNvPr id="6" name="Picture 15" descr="clam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52900" y="8353425"/>
          <a:ext cx="714375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16</xdr:col>
      <xdr:colOff>0</xdr:colOff>
      <xdr:row>4</xdr:row>
      <xdr:rowOff>161925</xdr:rowOff>
    </xdr:to>
    <xdr:pic>
      <xdr:nvPicPr>
        <xdr:cNvPr id="7" name="Grafik 9" descr="titel-angelframe-tool Kopi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171450"/>
          <a:ext cx="9591675" cy="723900"/>
        </a:xfrm>
        <a:prstGeom prst="rect">
          <a:avLst/>
        </a:prstGeom>
        <a:noFill/>
        <a:ln w="165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20</xdr:row>
      <xdr:rowOff>19050</xdr:rowOff>
    </xdr:from>
    <xdr:to>
      <xdr:col>1</xdr:col>
      <xdr:colOff>904875</xdr:colOff>
      <xdr:row>23</xdr:row>
      <xdr:rowOff>171450</xdr:rowOff>
    </xdr:to>
    <xdr:pic>
      <xdr:nvPicPr>
        <xdr:cNvPr id="8" name="Picture 16" descr="eck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95300" y="3810000"/>
          <a:ext cx="714375" cy="723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9" name="Rechteck 13"/>
        <xdr:cNvSpPr>
          <a:spLocks/>
        </xdr:cNvSpPr>
      </xdr:nvSpPr>
      <xdr:spPr>
        <a:xfrm>
          <a:off x="7143750" y="1504950"/>
          <a:ext cx="180975" cy="18097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8</xdr:row>
      <xdr:rowOff>9525</xdr:rowOff>
    </xdr:from>
    <xdr:to>
      <xdr:col>13</xdr:col>
      <xdr:colOff>647700</xdr:colOff>
      <xdr:row>9</xdr:row>
      <xdr:rowOff>0</xdr:rowOff>
    </xdr:to>
    <xdr:sp>
      <xdr:nvSpPr>
        <xdr:cNvPr id="10" name="Rechteck 14"/>
        <xdr:cNvSpPr>
          <a:spLocks/>
        </xdr:cNvSpPr>
      </xdr:nvSpPr>
      <xdr:spPr>
        <a:xfrm>
          <a:off x="8477250" y="1504950"/>
          <a:ext cx="180975" cy="18097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15</xdr:row>
      <xdr:rowOff>9525</xdr:rowOff>
    </xdr:from>
    <xdr:to>
      <xdr:col>12</xdr:col>
      <xdr:colOff>0</xdr:colOff>
      <xdr:row>15</xdr:row>
      <xdr:rowOff>190500</xdr:rowOff>
    </xdr:to>
    <xdr:sp>
      <xdr:nvSpPr>
        <xdr:cNvPr id="11" name="Rechteck 15"/>
        <xdr:cNvSpPr>
          <a:spLocks/>
        </xdr:cNvSpPr>
      </xdr:nvSpPr>
      <xdr:spPr>
        <a:xfrm>
          <a:off x="7143750" y="2847975"/>
          <a:ext cx="180975" cy="18097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15</xdr:row>
      <xdr:rowOff>9525</xdr:rowOff>
    </xdr:from>
    <xdr:to>
      <xdr:col>13</xdr:col>
      <xdr:colOff>647700</xdr:colOff>
      <xdr:row>16</xdr:row>
      <xdr:rowOff>0</xdr:rowOff>
    </xdr:to>
    <xdr:sp>
      <xdr:nvSpPr>
        <xdr:cNvPr id="12" name="Rechteck 16"/>
        <xdr:cNvSpPr>
          <a:spLocks/>
        </xdr:cNvSpPr>
      </xdr:nvSpPr>
      <xdr:spPr>
        <a:xfrm>
          <a:off x="8477250" y="2847975"/>
          <a:ext cx="180975" cy="18097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457200</xdr:colOff>
      <xdr:row>15</xdr:row>
      <xdr:rowOff>9525</xdr:rowOff>
    </xdr:to>
    <xdr:sp>
      <xdr:nvSpPr>
        <xdr:cNvPr id="13" name="Rechteck 22"/>
        <xdr:cNvSpPr>
          <a:spLocks/>
        </xdr:cNvSpPr>
      </xdr:nvSpPr>
      <xdr:spPr>
        <a:xfrm>
          <a:off x="7324725" y="1685925"/>
          <a:ext cx="1143000" cy="116205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28</xdr:row>
      <xdr:rowOff>9525</xdr:rowOff>
    </xdr:from>
    <xdr:to>
      <xdr:col>1</xdr:col>
      <xdr:colOff>904875</xdr:colOff>
      <xdr:row>31</xdr:row>
      <xdr:rowOff>152400</xdr:rowOff>
    </xdr:to>
    <xdr:pic>
      <xdr:nvPicPr>
        <xdr:cNvPr id="14" name="Grafik 32" descr="wandhalterung Kopi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" y="5324475"/>
          <a:ext cx="723900" cy="714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20</xdr:row>
      <xdr:rowOff>9525</xdr:rowOff>
    </xdr:from>
    <xdr:to>
      <xdr:col>6</xdr:col>
      <xdr:colOff>952500</xdr:colOff>
      <xdr:row>23</xdr:row>
      <xdr:rowOff>161925</xdr:rowOff>
    </xdr:to>
    <xdr:pic>
      <xdr:nvPicPr>
        <xdr:cNvPr id="15" name="Grafik 18" descr="angelframe-verbindung.bmp"/>
        <xdr:cNvPicPr preferRelativeResize="1">
          <a:picLocks noChangeAspect="0"/>
        </xdr:cNvPicPr>
      </xdr:nvPicPr>
      <xdr:blipFill>
        <a:blip r:embed="rId9"/>
        <a:srcRect l="20500" r="3500" b="1666"/>
        <a:stretch>
          <a:fillRect/>
        </a:stretch>
      </xdr:blipFill>
      <xdr:spPr>
        <a:xfrm>
          <a:off x="4143375" y="3800475"/>
          <a:ext cx="723900" cy="723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400050</xdr:colOff>
      <xdr:row>49</xdr:row>
      <xdr:rowOff>0</xdr:rowOff>
    </xdr:to>
    <xdr:sp>
      <xdr:nvSpPr>
        <xdr:cNvPr id="16" name="Rechteck 18"/>
        <xdr:cNvSpPr>
          <a:spLocks/>
        </xdr:cNvSpPr>
      </xdr:nvSpPr>
      <xdr:spPr>
        <a:xfrm>
          <a:off x="304800" y="7981950"/>
          <a:ext cx="9601200" cy="13335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295275</xdr:colOff>
      <xdr:row>20</xdr:row>
      <xdr:rowOff>28575</xdr:rowOff>
    </xdr:from>
    <xdr:to>
      <xdr:col>12</xdr:col>
      <xdr:colOff>676275</xdr:colOff>
      <xdr:row>23</xdr:row>
      <xdr:rowOff>180975</xdr:rowOff>
    </xdr:to>
    <xdr:pic>
      <xdr:nvPicPr>
        <xdr:cNvPr id="17" name="Grafik 17" descr="inbussschlüssel soist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86625" y="3819525"/>
          <a:ext cx="7143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nst@kunst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D10" sqref="D10"/>
    </sheetView>
  </sheetViews>
  <sheetFormatPr defaultColWidth="12" defaultRowHeight="15" customHeight="1"/>
  <cols>
    <col min="1" max="1" width="5.33203125" style="17" customWidth="1"/>
    <col min="2" max="2" width="15.83203125" style="17" customWidth="1"/>
    <col min="3" max="3" width="16.83203125" style="17" customWidth="1"/>
    <col min="4" max="4" width="10.83203125" style="17" customWidth="1"/>
    <col min="5" max="5" width="12.83203125" style="17" customWidth="1"/>
    <col min="6" max="6" width="6.83203125" style="17" customWidth="1"/>
    <col min="7" max="7" width="16.83203125" style="17" customWidth="1"/>
    <col min="8" max="8" width="10.83203125" style="17" customWidth="1"/>
    <col min="9" max="9" width="4.5" style="17" customWidth="1"/>
    <col min="10" max="11" width="10.83203125" style="17" customWidth="1"/>
    <col min="12" max="12" width="5.83203125" style="20" customWidth="1"/>
    <col min="13" max="13" width="12" style="17" customWidth="1"/>
    <col min="14" max="14" width="14.16015625" style="18" customWidth="1"/>
    <col min="15" max="15" width="12" style="17" customWidth="1"/>
    <col min="16" max="16" width="7.16015625" style="17" customWidth="1"/>
    <col min="17" max="17" width="6.66015625" style="17" customWidth="1"/>
    <col min="18" max="16384" width="12" style="17" customWidth="1"/>
  </cols>
  <sheetData>
    <row r="1" ht="12.75" customHeight="1">
      <c r="L1" s="17"/>
    </row>
    <row r="6" spans="2:18" ht="15" customHeight="1">
      <c r="B6" s="19"/>
      <c r="I6" s="19"/>
      <c r="J6" s="19"/>
      <c r="K6" s="19"/>
      <c r="N6" s="21"/>
      <c r="O6" s="20"/>
      <c r="P6" s="20"/>
      <c r="Q6" s="20"/>
      <c r="R6" s="20"/>
    </row>
    <row r="7" spans="2:18" s="27" customFormat="1" ht="15" customHeight="1">
      <c r="B7" s="22" t="s">
        <v>51</v>
      </c>
      <c r="C7" s="23"/>
      <c r="D7" s="23"/>
      <c r="E7" s="23"/>
      <c r="F7" s="23"/>
      <c r="G7" s="23"/>
      <c r="H7" s="23"/>
      <c r="I7" s="24"/>
      <c r="J7" s="24"/>
      <c r="K7" s="24"/>
      <c r="L7" s="23"/>
      <c r="M7" s="23"/>
      <c r="N7" s="25"/>
      <c r="O7" s="23"/>
      <c r="P7" s="26"/>
      <c r="Q7" s="24"/>
      <c r="R7" s="24"/>
    </row>
    <row r="8" spans="2:18" ht="15" customHeight="1" thickBot="1">
      <c r="B8" s="28"/>
      <c r="C8" s="20"/>
      <c r="D8" s="20"/>
      <c r="E8" s="20"/>
      <c r="F8" s="20"/>
      <c r="G8" s="20"/>
      <c r="H8" s="20"/>
      <c r="I8" s="20"/>
      <c r="J8" s="20"/>
      <c r="K8" s="20"/>
      <c r="M8" s="29">
        <f>D9</f>
        <v>1000</v>
      </c>
      <c r="N8" s="30" t="s">
        <v>50</v>
      </c>
      <c r="O8" s="20"/>
      <c r="P8" s="31"/>
      <c r="Q8" s="20"/>
      <c r="R8" s="20"/>
    </row>
    <row r="9" spans="2:18" ht="15" customHeight="1" thickBot="1">
      <c r="B9" s="32"/>
      <c r="C9" s="33" t="s">
        <v>20</v>
      </c>
      <c r="D9" s="61">
        <v>1000</v>
      </c>
      <c r="E9" s="34"/>
      <c r="F9" s="34"/>
      <c r="G9" s="33" t="s">
        <v>21</v>
      </c>
      <c r="H9" s="61">
        <v>1000</v>
      </c>
      <c r="I9" s="20"/>
      <c r="J9" s="20"/>
      <c r="K9" s="20"/>
      <c r="L9" s="35"/>
      <c r="M9" s="35"/>
      <c r="N9" s="36"/>
      <c r="O9" s="20"/>
      <c r="P9" s="31"/>
      <c r="Q9" s="20"/>
      <c r="R9" s="20"/>
    </row>
    <row r="10" spans="2:18" s="27" customFormat="1" ht="15" customHeight="1">
      <c r="B10" s="37"/>
      <c r="C10" s="38" t="s">
        <v>47</v>
      </c>
      <c r="D10" s="24">
        <f>D9-260-10*Breite!G33</f>
        <v>740</v>
      </c>
      <c r="E10" s="24"/>
      <c r="F10" s="24"/>
      <c r="G10" s="38" t="s">
        <v>21</v>
      </c>
      <c r="H10" s="24">
        <f>H9-260-10*Höhe!G33</f>
        <v>740</v>
      </c>
      <c r="I10" s="24"/>
      <c r="J10" s="24"/>
      <c r="K10" s="24"/>
      <c r="L10" s="35"/>
      <c r="M10" s="35"/>
      <c r="N10" s="36"/>
      <c r="O10" s="24"/>
      <c r="P10" s="39"/>
      <c r="Q10" s="24"/>
      <c r="R10" s="24"/>
    </row>
    <row r="11" spans="2:18" s="27" customFormat="1" ht="15" customHeight="1">
      <c r="B11" s="37"/>
      <c r="C11" s="38" t="s">
        <v>48</v>
      </c>
      <c r="D11" s="24">
        <f>D9+160</f>
        <v>1160</v>
      </c>
      <c r="E11" s="24"/>
      <c r="F11" s="24"/>
      <c r="G11" s="38" t="s">
        <v>21</v>
      </c>
      <c r="H11" s="24">
        <f>H9+160</f>
        <v>1160</v>
      </c>
      <c r="I11" s="24"/>
      <c r="J11" s="24"/>
      <c r="K11" s="24"/>
      <c r="L11" s="35"/>
      <c r="M11" s="35"/>
      <c r="N11" s="36"/>
      <c r="O11" s="40"/>
      <c r="P11" s="41"/>
      <c r="Q11" s="40"/>
      <c r="R11" s="24"/>
    </row>
    <row r="12" spans="2:18" s="27" customFormat="1" ht="15" customHeight="1" thickBot="1">
      <c r="B12" s="42"/>
      <c r="C12" s="24"/>
      <c r="D12" s="24"/>
      <c r="E12" s="24"/>
      <c r="F12" s="24"/>
      <c r="G12" s="24"/>
      <c r="H12" s="24"/>
      <c r="I12" s="24"/>
      <c r="J12" s="24"/>
      <c r="K12" s="73"/>
      <c r="L12" s="35"/>
      <c r="M12" s="35"/>
      <c r="N12" s="36"/>
      <c r="O12" s="30" t="str">
        <f>H9&amp;" mm"</f>
        <v>1000 mm</v>
      </c>
      <c r="P12" s="39"/>
      <c r="Q12" s="24"/>
      <c r="R12" s="24"/>
    </row>
    <row r="13" spans="2:18" ht="15" customHeight="1">
      <c r="B13" s="43">
        <f>IF(D13="",0,D13)</f>
        <v>2</v>
      </c>
      <c r="C13" s="44" t="s">
        <v>22</v>
      </c>
      <c r="D13" s="62">
        <f>IF(Breite!E33=0,"",Breite!E33*2)</f>
        <v>2</v>
      </c>
      <c r="E13" s="45">
        <f>IF(F13&lt;&gt;"","2 pcs cut to","")</f>
      </c>
      <c r="F13" s="60">
        <f>Breite!F33</f>
      </c>
      <c r="G13" s="44" t="s">
        <v>22</v>
      </c>
      <c r="H13" s="62">
        <f>IF(Höhe!E33=0,"",Höhe!E33*2)</f>
        <v>2</v>
      </c>
      <c r="I13" s="74">
        <f>IF(H13="",0,H13)</f>
        <v>2</v>
      </c>
      <c r="J13" s="45">
        <f>IF(K13&lt;&gt;"","2 pcs cut to","")</f>
      </c>
      <c r="K13" s="60">
        <f>Höhe!F33</f>
      </c>
      <c r="L13" s="35"/>
      <c r="M13" s="35"/>
      <c r="P13" s="31"/>
      <c r="Q13" s="20"/>
      <c r="R13" s="20"/>
    </row>
    <row r="14" spans="2:18" ht="15" customHeight="1">
      <c r="B14" s="43">
        <f>IF(D14="",0,D14)</f>
        <v>0</v>
      </c>
      <c r="C14" s="44" t="s">
        <v>23</v>
      </c>
      <c r="D14" s="63">
        <f>IF(Breite!E34=0,"",Breite!E34*2)</f>
      </c>
      <c r="E14" s="45">
        <f>IF(F14&lt;&gt;"","2 pcs cut to","")</f>
      </c>
      <c r="F14" s="46">
        <f>Breite!F34</f>
      </c>
      <c r="G14" s="44" t="s">
        <v>23</v>
      </c>
      <c r="H14" s="63">
        <f>IF(Höhe!E34=0,"",Höhe!E34*2)</f>
      </c>
      <c r="I14" s="74">
        <f>IF(H14="",0,H14)</f>
        <v>0</v>
      </c>
      <c r="J14" s="47">
        <f>IF(K14&lt;&gt;"","2 pcs cut to","")</f>
      </c>
      <c r="K14" s="46">
        <f>Höhe!F34</f>
      </c>
      <c r="L14" s="35"/>
      <c r="M14" s="35"/>
      <c r="N14" s="36"/>
      <c r="O14" s="20"/>
      <c r="P14" s="31"/>
      <c r="Q14" s="20"/>
      <c r="R14" s="20"/>
    </row>
    <row r="15" spans="2:18" ht="15.75" customHeight="1">
      <c r="B15" s="43">
        <f>IF(D15="",0,D15)</f>
        <v>0</v>
      </c>
      <c r="C15" s="44" t="s">
        <v>24</v>
      </c>
      <c r="D15" s="63">
        <f>IF(Breite!E35=0,"",Breite!E35*2)</f>
      </c>
      <c r="E15" s="49">
        <f>IF(F15&lt;&gt;"","2 pcs cut to","")</f>
      </c>
      <c r="F15" s="48">
        <f>Breite!F35</f>
      </c>
      <c r="G15" s="44" t="s">
        <v>24</v>
      </c>
      <c r="H15" s="63">
        <f>IF(Höhe!E35=0,"",Höhe!E35*2)</f>
      </c>
      <c r="I15" s="74">
        <f>IF(H15="",0,H15)</f>
        <v>0</v>
      </c>
      <c r="J15" s="49">
        <f>IF(K15&lt;&gt;"","2 pcs cut to","")</f>
      </c>
      <c r="K15" s="46">
        <f>Höhe!F35</f>
      </c>
      <c r="L15" s="35"/>
      <c r="M15" s="35"/>
      <c r="N15" s="36"/>
      <c r="O15" s="50"/>
      <c r="P15" s="31"/>
      <c r="Q15" s="20"/>
      <c r="R15" s="20"/>
    </row>
    <row r="16" spans="2:18" ht="15" customHeight="1" thickBot="1">
      <c r="B16" s="43">
        <f>IF(D16="",0,D16)</f>
        <v>0</v>
      </c>
      <c r="C16" s="44" t="s">
        <v>25</v>
      </c>
      <c r="D16" s="64">
        <f>IF(Breite!E36=0,"",Breite!E36*2)</f>
      </c>
      <c r="E16" s="45">
        <f>IF(F16&lt;&gt;"","2 pcs cut to","")</f>
      </c>
      <c r="F16" s="46">
        <f>Breite!F36</f>
      </c>
      <c r="G16" s="44" t="s">
        <v>25</v>
      </c>
      <c r="H16" s="64">
        <f>IF(Höhe!E36=0,"",Höhe!E36*2)</f>
      </c>
      <c r="I16" s="74">
        <f>IF(H16="",0,H16)</f>
        <v>0</v>
      </c>
      <c r="J16" s="47">
        <f>IF(K16&lt;&gt;"","2 pcs cut to","")</f>
      </c>
      <c r="K16" s="46">
        <f>Höhe!F36</f>
      </c>
      <c r="M16" s="20"/>
      <c r="N16" s="21"/>
      <c r="O16" s="50"/>
      <c r="P16" s="31"/>
      <c r="Q16" s="20"/>
      <c r="R16" s="20"/>
    </row>
    <row r="17" spans="2:18" ht="15" customHeight="1">
      <c r="B17" s="5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52"/>
      <c r="O17" s="19"/>
      <c r="P17" s="53"/>
      <c r="Q17" s="20"/>
      <c r="R17" s="20"/>
    </row>
    <row r="18" spans="2:18" ht="15" customHeight="1">
      <c r="B18" s="54"/>
      <c r="K18" s="54"/>
      <c r="L18" s="54"/>
      <c r="N18" s="52"/>
      <c r="O18" s="55"/>
      <c r="P18" s="54"/>
      <c r="Q18" s="20"/>
      <c r="R18" s="20"/>
    </row>
    <row r="19" spans="2:17" s="27" customFormat="1" ht="15" customHeight="1">
      <c r="B19" s="22" t="s">
        <v>52</v>
      </c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3"/>
      <c r="N19" s="56"/>
      <c r="O19" s="24"/>
      <c r="P19" s="39"/>
      <c r="Q19" s="24"/>
    </row>
    <row r="20" spans="2:17" ht="15" customHeight="1" thickBot="1">
      <c r="B20" s="28"/>
      <c r="C20" s="20"/>
      <c r="D20" s="20"/>
      <c r="E20" s="20"/>
      <c r="F20" s="20"/>
      <c r="G20" s="20"/>
      <c r="H20" s="20"/>
      <c r="I20" s="20"/>
      <c r="J20" s="20"/>
      <c r="K20" s="20"/>
      <c r="M20" s="20"/>
      <c r="N20" s="21"/>
      <c r="O20" s="20"/>
      <c r="P20" s="31"/>
      <c r="Q20" s="20"/>
    </row>
    <row r="21" spans="1:17" ht="15" customHeight="1" thickBot="1">
      <c r="A21" s="31"/>
      <c r="C21" s="44" t="s">
        <v>31</v>
      </c>
      <c r="D21" s="65">
        <v>1</v>
      </c>
      <c r="E21" s="20" t="s">
        <v>55</v>
      </c>
      <c r="F21" s="20"/>
      <c r="G21" s="20"/>
      <c r="H21" s="44" t="s">
        <v>58</v>
      </c>
      <c r="I21" s="92" t="s">
        <v>64</v>
      </c>
      <c r="J21" s="65">
        <f>Breite!G33+Höhe!G33</f>
        <v>0</v>
      </c>
      <c r="K21" s="20" t="s">
        <v>59</v>
      </c>
      <c r="M21" s="20"/>
      <c r="N21" s="44" t="s">
        <v>60</v>
      </c>
      <c r="O21" s="65">
        <v>1</v>
      </c>
      <c r="P21" s="70" t="s">
        <v>33</v>
      </c>
      <c r="Q21" s="20"/>
    </row>
    <row r="22" spans="2:17" ht="15" customHeight="1">
      <c r="B22" s="57"/>
      <c r="C22" s="44"/>
      <c r="D22" s="20"/>
      <c r="E22" s="20"/>
      <c r="F22" s="20"/>
      <c r="G22" s="20"/>
      <c r="H22" s="89"/>
      <c r="I22" s="20"/>
      <c r="J22" s="20"/>
      <c r="K22" s="20"/>
      <c r="M22" s="20"/>
      <c r="N22" s="21"/>
      <c r="O22" s="20"/>
      <c r="P22" s="31"/>
      <c r="Q22" s="20"/>
    </row>
    <row r="23" spans="2:17" ht="15" customHeight="1">
      <c r="B23" s="57"/>
      <c r="C23" s="44"/>
      <c r="D23" s="20"/>
      <c r="E23" s="20"/>
      <c r="F23" s="20"/>
      <c r="G23" s="20"/>
      <c r="H23" s="20"/>
      <c r="I23" s="20"/>
      <c r="J23" s="20"/>
      <c r="K23" s="20"/>
      <c r="M23" s="20"/>
      <c r="N23" s="21"/>
      <c r="O23" s="20"/>
      <c r="P23" s="31"/>
      <c r="Q23" s="20"/>
    </row>
    <row r="24" spans="2:17" ht="15" customHeight="1">
      <c r="B24" s="57"/>
      <c r="C24" s="44"/>
      <c r="D24" s="20"/>
      <c r="E24" s="20"/>
      <c r="F24" s="20"/>
      <c r="G24" s="20"/>
      <c r="H24" s="91"/>
      <c r="I24" s="20"/>
      <c r="J24" s="20"/>
      <c r="K24" s="20"/>
      <c r="M24" s="20"/>
      <c r="N24" s="21"/>
      <c r="O24" s="20"/>
      <c r="P24" s="31"/>
      <c r="Q24" s="20"/>
    </row>
    <row r="25" spans="2:17" ht="15" customHeight="1">
      <c r="B25" s="5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52"/>
      <c r="O25" s="19"/>
      <c r="P25" s="53"/>
      <c r="Q25" s="20"/>
    </row>
    <row r="26" spans="2:17" ht="15" customHeight="1">
      <c r="B26" s="54"/>
      <c r="I26" s="20"/>
      <c r="J26" s="19"/>
      <c r="K26" s="19"/>
      <c r="L26" s="19"/>
      <c r="N26" s="21"/>
      <c r="O26" s="20"/>
      <c r="P26" s="20"/>
      <c r="Q26" s="20"/>
    </row>
    <row r="27" spans="2:16" s="27" customFormat="1" ht="15" customHeight="1">
      <c r="B27" s="58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O27" s="23"/>
      <c r="P27" s="26"/>
    </row>
    <row r="28" spans="2:16" ht="15" customHeight="1" thickBot="1">
      <c r="B28" s="28"/>
      <c r="C28" s="20"/>
      <c r="D28" s="20"/>
      <c r="E28" s="20"/>
      <c r="F28" s="20"/>
      <c r="G28" s="20"/>
      <c r="H28" s="20"/>
      <c r="I28" s="20"/>
      <c r="J28" s="20"/>
      <c r="K28" s="20"/>
      <c r="M28" s="20"/>
      <c r="N28" s="21"/>
      <c r="O28" s="20"/>
      <c r="P28" s="31"/>
    </row>
    <row r="29" spans="1:16" ht="15" customHeight="1" thickBot="1">
      <c r="A29" s="31"/>
      <c r="B29" s="28"/>
      <c r="C29" s="44" t="s">
        <v>32</v>
      </c>
      <c r="D29" s="65">
        <f>Zubehöhr!H2+Zubehöhr!H8</f>
        <v>4</v>
      </c>
      <c r="E29" s="20" t="s">
        <v>33</v>
      </c>
      <c r="F29" s="20"/>
      <c r="G29" s="20"/>
      <c r="H29" s="44" t="s">
        <v>34</v>
      </c>
      <c r="I29" s="92"/>
      <c r="J29" s="65">
        <f>Zubehöhr!E11</f>
        <v>1</v>
      </c>
      <c r="K29" s="20" t="s">
        <v>56</v>
      </c>
      <c r="M29" s="20"/>
      <c r="N29" s="21"/>
      <c r="O29" s="20"/>
      <c r="P29" s="31"/>
    </row>
    <row r="30" spans="2:16" ht="15" customHeight="1">
      <c r="B30" s="57"/>
      <c r="C30" s="44"/>
      <c r="D30" s="20"/>
      <c r="E30" s="20"/>
      <c r="F30" s="20"/>
      <c r="G30" s="20"/>
      <c r="H30" s="20"/>
      <c r="I30" s="20"/>
      <c r="J30" s="20"/>
      <c r="K30" s="20"/>
      <c r="M30" s="20"/>
      <c r="N30" s="21"/>
      <c r="O30" s="20"/>
      <c r="P30" s="31"/>
    </row>
    <row r="31" spans="2:16" ht="15" customHeight="1">
      <c r="B31" s="57"/>
      <c r="C31" s="44"/>
      <c r="D31" s="20"/>
      <c r="E31" s="20"/>
      <c r="F31" s="20"/>
      <c r="G31" s="20"/>
      <c r="H31" s="20"/>
      <c r="I31" s="20"/>
      <c r="J31" s="20"/>
      <c r="K31" s="20"/>
      <c r="M31" s="20"/>
      <c r="N31" s="21"/>
      <c r="O31" s="20"/>
      <c r="P31" s="31"/>
    </row>
    <row r="32" spans="2:16" ht="15" customHeight="1">
      <c r="B32" s="57"/>
      <c r="C32" s="44"/>
      <c r="D32" s="20"/>
      <c r="E32" s="20"/>
      <c r="F32" s="20"/>
      <c r="G32" s="20"/>
      <c r="H32" s="20"/>
      <c r="I32" s="20"/>
      <c r="J32" s="20"/>
      <c r="K32" s="20"/>
      <c r="M32" s="20"/>
      <c r="N32" s="21"/>
      <c r="O32" s="20"/>
      <c r="P32" s="31"/>
    </row>
    <row r="33" spans="2:16" ht="15" customHeight="1">
      <c r="B33" s="5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52"/>
      <c r="O33" s="19"/>
      <c r="P33" s="53"/>
    </row>
    <row r="34" spans="2:16" ht="1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M34" s="20"/>
      <c r="N34" s="21"/>
      <c r="O34" s="20"/>
      <c r="P34" s="20"/>
    </row>
    <row r="35" spans="2:16" s="27" customFormat="1" ht="15" customHeight="1">
      <c r="B35" s="58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5"/>
      <c r="O35" s="23"/>
      <c r="P35" s="26"/>
    </row>
    <row r="36" spans="2:16" ht="15" customHeight="1" thickBot="1">
      <c r="B36" s="28"/>
      <c r="C36" s="20"/>
      <c r="D36" s="20"/>
      <c r="E36" s="20"/>
      <c r="F36" s="20"/>
      <c r="G36" s="20"/>
      <c r="H36" s="20"/>
      <c r="I36" s="20"/>
      <c r="J36" s="20"/>
      <c r="K36" s="20"/>
      <c r="M36" s="20"/>
      <c r="N36" s="21"/>
      <c r="O36" s="20"/>
      <c r="P36" s="31"/>
    </row>
    <row r="37" spans="1:16" ht="15" customHeight="1" thickBot="1">
      <c r="A37" s="20"/>
      <c r="B37" s="28"/>
      <c r="C37" s="44" t="s">
        <v>38</v>
      </c>
      <c r="D37" s="65">
        <f>Zubehöhr!E13</f>
        <v>1</v>
      </c>
      <c r="E37" s="20" t="s">
        <v>39</v>
      </c>
      <c r="F37" s="20"/>
      <c r="G37" s="20"/>
      <c r="H37" s="20"/>
      <c r="I37" s="20"/>
      <c r="J37" s="20"/>
      <c r="K37" s="20"/>
      <c r="M37" s="20"/>
      <c r="N37" s="21"/>
      <c r="O37" s="20"/>
      <c r="P37" s="31"/>
    </row>
    <row r="38" spans="2:16" ht="15" customHeight="1">
      <c r="B38" s="57"/>
      <c r="C38" s="44"/>
      <c r="D38" s="20"/>
      <c r="E38" s="20"/>
      <c r="F38" s="20"/>
      <c r="G38" s="20"/>
      <c r="H38" s="20"/>
      <c r="I38" s="20"/>
      <c r="J38" s="20"/>
      <c r="K38" s="20"/>
      <c r="M38" s="20"/>
      <c r="N38" s="21"/>
      <c r="O38" s="20"/>
      <c r="P38" s="31"/>
    </row>
    <row r="39" spans="2:16" ht="15" customHeight="1">
      <c r="B39" s="57"/>
      <c r="C39" s="44"/>
      <c r="D39" s="20"/>
      <c r="E39" s="20"/>
      <c r="F39" s="20"/>
      <c r="G39" s="20"/>
      <c r="H39" s="20"/>
      <c r="I39" s="20"/>
      <c r="J39" s="20"/>
      <c r="K39" s="20"/>
      <c r="M39" s="20"/>
      <c r="N39" s="21"/>
      <c r="O39" s="20"/>
      <c r="P39" s="31"/>
    </row>
    <row r="40" spans="2:16" ht="15" customHeight="1">
      <c r="B40" s="57"/>
      <c r="C40" s="44"/>
      <c r="D40" s="20"/>
      <c r="E40" s="20"/>
      <c r="F40" s="20"/>
      <c r="G40" s="20"/>
      <c r="H40" s="20"/>
      <c r="I40" s="20"/>
      <c r="J40" s="20"/>
      <c r="K40" s="20"/>
      <c r="M40" s="20"/>
      <c r="N40" s="21"/>
      <c r="O40" s="20"/>
      <c r="P40" s="31"/>
    </row>
    <row r="41" spans="2:16" ht="15" customHeight="1">
      <c r="B41" s="5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  <c r="O41" s="19"/>
      <c r="P41" s="53"/>
    </row>
    <row r="42" ht="15" customHeight="1">
      <c r="B42" s="20"/>
    </row>
    <row r="43" spans="1:17" s="27" customFormat="1" ht="15" customHeight="1">
      <c r="A43" s="24"/>
      <c r="B43" s="66" t="s">
        <v>54</v>
      </c>
      <c r="C43" s="24"/>
      <c r="D43" s="24"/>
      <c r="E43" s="24"/>
      <c r="F43" s="67" t="s">
        <v>49</v>
      </c>
      <c r="G43" s="20"/>
      <c r="H43" s="20"/>
      <c r="I43" s="20"/>
      <c r="J43" s="20"/>
      <c r="K43" s="20"/>
      <c r="L43" s="68" t="s">
        <v>49</v>
      </c>
      <c r="M43" s="24"/>
      <c r="N43" s="56"/>
      <c r="O43" s="24"/>
      <c r="P43" s="24"/>
      <c r="Q43" s="24"/>
    </row>
    <row r="44" spans="1:17" ht="15" customHeight="1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M44" s="20"/>
      <c r="N44" s="21"/>
      <c r="O44" s="20"/>
      <c r="P44" s="20"/>
      <c r="Q44" s="20"/>
    </row>
    <row r="45" spans="1:17" ht="15" customHeight="1" thickBot="1">
      <c r="A45" s="20"/>
      <c r="B45" s="20"/>
      <c r="C45" s="79" t="s">
        <v>61</v>
      </c>
      <c r="D45" s="78">
        <f>IF(I45=1,Zubehöhr!E18,"")</f>
        <v>1</v>
      </c>
      <c r="E45" s="20" t="s">
        <v>39</v>
      </c>
      <c r="F45" s="20"/>
      <c r="G45" s="20"/>
      <c r="H45" s="59"/>
      <c r="I45" s="80">
        <v>1</v>
      </c>
      <c r="J45" s="78">
        <f>IF(I45=2,Zubehöhr!E20,"")</f>
      </c>
      <c r="K45" s="59" t="s">
        <v>39</v>
      </c>
      <c r="M45" s="20"/>
      <c r="N45" s="72" t="b">
        <v>1</v>
      </c>
      <c r="O45" s="78">
        <f>IF(I45=3,Zubehöhr!E25,"")</f>
      </c>
      <c r="P45" s="77" t="s">
        <v>41</v>
      </c>
      <c r="Q45" s="20"/>
    </row>
    <row r="46" spans="1:17" ht="15" customHeight="1">
      <c r="A46" s="20"/>
      <c r="B46" s="69"/>
      <c r="C46" s="44"/>
      <c r="D46" s="20"/>
      <c r="E46" s="20"/>
      <c r="F46" s="20"/>
      <c r="G46" s="20"/>
      <c r="I46" s="59" t="s">
        <v>46</v>
      </c>
      <c r="J46" s="20"/>
      <c r="K46" s="20"/>
      <c r="M46" s="20"/>
      <c r="N46" s="21"/>
      <c r="O46" s="20"/>
      <c r="P46" s="20"/>
      <c r="Q46" s="20"/>
    </row>
    <row r="47" spans="1:17" ht="15" customHeight="1">
      <c r="A47" s="20"/>
      <c r="B47" s="69"/>
      <c r="C47" s="44"/>
      <c r="D47" s="20"/>
      <c r="E47" s="20"/>
      <c r="F47" s="20"/>
      <c r="G47" s="20"/>
      <c r="H47" s="20"/>
      <c r="I47" s="20"/>
      <c r="J47" s="20"/>
      <c r="K47" s="20"/>
      <c r="M47" s="20"/>
      <c r="N47" s="21"/>
      <c r="O47" s="20"/>
      <c r="P47" s="20"/>
      <c r="Q47" s="20"/>
    </row>
    <row r="48" spans="1:17" ht="15" customHeight="1">
      <c r="A48" s="20"/>
      <c r="B48" s="69"/>
      <c r="C48" s="44"/>
      <c r="D48" s="20"/>
      <c r="E48" s="20"/>
      <c r="F48" s="20"/>
      <c r="G48" s="20"/>
      <c r="H48" s="20"/>
      <c r="I48" s="20"/>
      <c r="J48" s="20"/>
      <c r="K48" s="20"/>
      <c r="M48" s="20"/>
      <c r="N48" s="21"/>
      <c r="O48" s="20"/>
      <c r="P48" s="20"/>
      <c r="Q48" s="20"/>
    </row>
    <row r="49" spans="1:17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M49" s="20"/>
      <c r="N49" s="21"/>
      <c r="O49" s="20"/>
      <c r="P49" s="20"/>
      <c r="Q49" s="20"/>
    </row>
    <row r="50" spans="1:13" ht="15" customHeight="1">
      <c r="A50" s="2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6"/>
    </row>
    <row r="51" spans="1:16" ht="22.5" customHeight="1">
      <c r="A51" s="20"/>
      <c r="B51" s="71" t="str">
        <f>CONCATENATE(IF(B13+I13&gt;0,CONCATENATE(B13+I13,"xAFP1000",IF(F13&lt;&gt;"",CONCATENATE("-",IF(F13=K13,"4","2"),"pcs%20cut%20",F13,""),""),IF(AND(K13&lt;&gt;"",F13&lt;&gt;K13),CONCATENATE("-2pcs%20cut%20",K13,"%0A"),"%0A")),""),IF(B14+I14&gt;0,CONCATENATE(B14+I14,"xAFP2000",IF(F14&lt;&gt;"",CONCATENATE("-",IF(F14=K14,"4","2"),"pcs%20cut%20",F14,""),""),IF(AND(K14&lt;&gt;"",F14&lt;&gt;K14),CONCATENATE("-2pcs%20cut%20",K14,"%0A"),"%0A")),""),IF(B15+I15&gt;0,CONCATENATE(B15+I15,"xAFP3000",IF(F15&lt;&gt;"",CONCATENATE("-",IF(F15=K15,"4","2"),"pcs%20cut%20",F15,""),""),IF(AND(K15&lt;&gt;"",F15&lt;&gt;K15),CONCATENATE("-2pcs%20cut%20",K15,"%0A"),"%0A")),""),IF(B16+I16&gt;0,CONCATENATE(B16+I16,"xAFP4000",IF(F16&lt;&gt;"",CONCATENATE("-",IF(F16=K16,"4","2"),"pcs%20cut%20",F16,""),""),IF(AND(K16&lt;&gt;"",F16&lt;&gt;K16),CONCATENATE("-2pcs%20cut%20",K16,"%0A"),"%0A")),""))</f>
        <v>4xAFP1000%0A</v>
      </c>
      <c r="C51" s="75" t="str">
        <f>CONCATENATE(IF(D21&gt;0,CONCATENATE("AFAN04AR-",D21,"set%0A"),""),IF(J21&gt;0,CONCATENATE("AFCON02-",J21,"set%0A"),""),IF(O21&gt;0,CONCATENATE("SOKEY4-",O21,"pcs%0A"),""),IF(D29&gt;0,CONCATENATE("AFWH01-",D29,"pcs%0A"),""),IF(J29&gt;0,CONCATENATE("AFDD1914-",J29,"set%0A"),""),IF(D37&gt;0,CONCATENATE("AFC20GR-",D37,"set%0A"),""))</f>
        <v>AFAN04AR-1set%0ASOKEY4-1pcs%0AAFWH01-4pcs%0AAFDD1914-1set%0AAFC20GR-1set%0A</v>
      </c>
      <c r="D51" s="71" t="str">
        <f>CONCATENATE("mounting:%20",IF(I45=1,"AGK30GR",""),IF(I45=2,"AGK60TR,%20ACL3540WE",""),IF(I45=3,"MFGK06TR%0A",""))</f>
        <v>mounting:%20AGK30GR</v>
      </c>
      <c r="E51" s="71">
        <f>CONCATENATE(IF(F13="","",CONCATENATE("%0A%0Afor%20each%20horizontal%20side:%202%20x%201000%20%28AFP1000%29%20cut%20to%20",F13)),IF(K13="","",CONCATENATE("%0A%0Afor%20each%20vertical%20side:%202%20x%201000%20%28AFP1000%29%20cut%20to%20",F13)),IF(F14="","",CONCATENATE("%0A%0Afor%20each%20horizontal%20side:%202%20x%202000%20%28AFP2000%29%20cut%20to%20",F14)),IF(K14="","",CONCATENATE("%0A%0Afor%20each%20vertical%20side:%202%20x%202000%20%28AFP2000%29%20cut%20to%20",F14)),IF(F15="","",CONCATENATE("%0A%0Afor%20each%20horizontal%20side:%202%20x%203000%20%28AFP3000%29%20cut%20to%20",F15)),IF(K15="","",CONCATENATE("%0A%0Afor%20each%20vertical%20side:%202%20x%203000%20%28AFP3000%29%20cut%20to%20",F15)),IF(F16="","",CONCATENATE("%0A%0Afor%20each%20horizontal%20side:%202%20x%204000%20%28AFP4000%29%20cut%20to%20",F16)),IF(K16="","",CONCATENATE("%0A%0Afor%20each%20vertical%20side:%202%20x%204000%20%28AFP4000%29%20cut%20to%20",F16)))</f>
      </c>
      <c r="F51" s="71" t="str">
        <f>CONCATENATE(B51,C51,D51)</f>
        <v>4xAFP1000%0AAFAN04AR-1set%0ASOKEY4-1pcs%0AAFWH01-4pcs%0AAFDD1914-1set%0AAFC20GR-1set%0Amounting:%20AGK30GR</v>
      </c>
      <c r="G51" s="82" t="s">
        <v>63</v>
      </c>
      <c r="H51" s="71" t="s">
        <v>62</v>
      </c>
      <c r="I51" s="71" t="str">
        <f>CONCATENATE(D9,"x",H9,"mm%0A",F51)</f>
        <v>1000x1000mm%0A4xAFP1000%0AAFAN04AR-1set%0ASOKEY4-1pcs%0AAFWH01-4pcs%0AAFDD1914-1set%0AAFC20GR-1set%0Amounting:%20AGK30GR</v>
      </c>
      <c r="J51" s="71" t="str">
        <f>IF(LEN(I51)&lt;185,CONCATENATE(I51,"%0A%0ACOMPANY-DATA"),I51)</f>
        <v>1000x1000mm%0A4xAFP1000%0AAFAN04AR-1set%0ASOKEY4-1pcs%0AAFWH01-4pcs%0AAFDD1914-1set%0AAFC20GR-1set%0Amounting:%20AGK30GR%0A%0ACOMPANY-DATA</v>
      </c>
      <c r="K51" s="71"/>
      <c r="L51" s="71"/>
      <c r="M51" s="76"/>
      <c r="N51" s="84" t="str">
        <f>HYPERLINK(CONCATENATE("mailto:",G51,"?subject=",H51,"&amp;body=",J51),"send request")</f>
        <v>send request</v>
      </c>
      <c r="O51" s="85"/>
      <c r="P51" s="85"/>
    </row>
    <row r="52" spans="1:13" ht="33.75" customHeight="1">
      <c r="A52" s="20"/>
      <c r="B52" s="90" t="s">
        <v>65</v>
      </c>
      <c r="C52" s="50"/>
      <c r="D52" s="20"/>
      <c r="E52" s="20"/>
      <c r="F52" s="20"/>
      <c r="G52" s="83"/>
      <c r="H52" s="20"/>
      <c r="I52" s="20"/>
      <c r="J52" s="20"/>
      <c r="K52" s="20"/>
      <c r="M52" s="18"/>
    </row>
    <row r="53" spans="1:11" ht="15" customHeight="1">
      <c r="A53" s="20"/>
      <c r="B53" s="20"/>
      <c r="C53" s="50"/>
      <c r="D53" s="20"/>
      <c r="E53" s="20"/>
      <c r="F53" s="20"/>
      <c r="G53" s="20"/>
      <c r="H53" s="20"/>
      <c r="I53" s="20"/>
      <c r="J53" s="20"/>
      <c r="K53" s="20"/>
    </row>
    <row r="54" spans="1:11" ht="15" customHeight="1">
      <c r="A54" s="20"/>
      <c r="B54" s="20"/>
      <c r="C54" s="88"/>
      <c r="D54" s="20"/>
      <c r="E54" s="20"/>
      <c r="F54" s="20"/>
      <c r="G54" s="20"/>
      <c r="H54" s="20"/>
      <c r="I54" s="20"/>
      <c r="J54" s="20"/>
      <c r="K54" s="20"/>
    </row>
    <row r="55" spans="1:11" ht="15" customHeight="1">
      <c r="A55" s="20"/>
      <c r="B55" s="81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" customHeight="1">
      <c r="A58" s="20"/>
      <c r="B58" s="20"/>
      <c r="C58" s="20"/>
      <c r="D58" s="59"/>
      <c r="E58" s="20"/>
      <c r="F58" s="20"/>
      <c r="G58" s="20"/>
      <c r="H58" s="20"/>
      <c r="I58" s="20"/>
      <c r="J58" s="20"/>
      <c r="K58" s="20"/>
    </row>
    <row r="59" spans="1:11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</sheetData>
  <sheetProtection password="D101" sheet="1" objects="1" scenarios="1"/>
  <mergeCells count="1">
    <mergeCell ref="N51:P51"/>
  </mergeCells>
  <hyperlinks>
    <hyperlink ref="G51" r:id="rId1" display="kunst@kunst.it"/>
  </hyperlinks>
  <printOptions/>
  <pageMargins left="0.7086614173228347" right="0.7086614173228347" top="0.7874015748031497" bottom="0.5905511811023623" header="0.31496062992125984" footer="0.31496062992125984"/>
  <pageSetup fitToHeight="3" horizontalDpi="300" verticalDpi="300" orientation="landscape" paperSize="9" r:id="rId4"/>
  <ignoredErrors>
    <ignoredError sqref="N5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zoomScalePageLayoutView="0" workbookViewId="0" topLeftCell="A1">
      <selection activeCell="E35" sqref="E35:F36"/>
    </sheetView>
  </sheetViews>
  <sheetFormatPr defaultColWidth="8.16015625" defaultRowHeight="11.25"/>
  <cols>
    <col min="1" max="1" width="8.33203125" style="1" customWidth="1"/>
    <col min="2" max="2" width="8.66015625" style="1" bestFit="1" customWidth="1"/>
    <col min="3" max="3" width="8.33203125" style="1" bestFit="1" customWidth="1"/>
    <col min="4" max="4" width="11.16015625" style="1" bestFit="1" customWidth="1"/>
    <col min="5" max="5" width="12.33203125" style="1" bestFit="1" customWidth="1"/>
    <col min="6" max="6" width="11.16015625" style="1" bestFit="1" customWidth="1"/>
    <col min="7" max="7" width="12" style="1" bestFit="1" customWidth="1"/>
    <col min="8" max="8" width="11.16015625" style="1" bestFit="1" customWidth="1"/>
    <col min="9" max="9" width="12.33203125" style="1" bestFit="1" customWidth="1"/>
    <col min="10" max="10" width="12.16015625" style="1" bestFit="1" customWidth="1"/>
    <col min="11" max="11" width="12" style="1" bestFit="1" customWidth="1"/>
    <col min="12" max="12" width="11.16015625" style="1" bestFit="1" customWidth="1"/>
    <col min="13" max="13" width="12.33203125" style="1" bestFit="1" customWidth="1"/>
    <col min="14" max="14" width="11.5" style="1" customWidth="1"/>
    <col min="15" max="15" width="12" style="1" bestFit="1" customWidth="1"/>
    <col min="16" max="16" width="11.16015625" style="1" bestFit="1" customWidth="1"/>
    <col min="17" max="17" width="12.33203125" style="1" bestFit="1" customWidth="1"/>
    <col min="18" max="18" width="11.16015625" style="1" customWidth="1"/>
    <col min="19" max="19" width="12" style="1" bestFit="1" customWidth="1"/>
    <col min="20" max="20" width="11.16015625" style="1" bestFit="1" customWidth="1"/>
    <col min="21" max="16384" width="8.16015625" style="1" customWidth="1"/>
  </cols>
  <sheetData>
    <row r="1" spans="1:11" ht="15">
      <c r="A1" s="8" t="s">
        <v>0</v>
      </c>
      <c r="C1" s="1" t="s">
        <v>1</v>
      </c>
      <c r="D1" s="1" t="s">
        <v>2</v>
      </c>
      <c r="H1" s="5" t="s">
        <v>3</v>
      </c>
      <c r="I1" s="5"/>
      <c r="J1" s="5" t="s">
        <v>17</v>
      </c>
      <c r="K1" s="5" t="s">
        <v>13</v>
      </c>
    </row>
    <row r="2" spans="1:11" ht="15">
      <c r="A2" s="15">
        <f>Eingabe!D9</f>
        <v>1000</v>
      </c>
      <c r="B2" s="10">
        <f>A2-260</f>
        <v>740</v>
      </c>
      <c r="C2" s="1" t="s">
        <v>4</v>
      </c>
      <c r="D2" s="1">
        <v>740</v>
      </c>
      <c r="E2" s="2">
        <f>IF((H3+H4+H5)=0,B$2/D2,IF((B2-((H4*D4)+(H3*D3)+(H5*D5)))&lt;=0,0,((B2-((H3*D3)+(H4*D4)+(H5*D5)))/D2)))</f>
        <v>1</v>
      </c>
      <c r="F2" s="1">
        <f>ROUNDUP(E2,0)</f>
        <v>1</v>
      </c>
      <c r="G2" s="1">
        <f>IF(F2=0,0,((D2*F2)+(D3*H3)+(D4*H4)+(D5*H5))-B2)</f>
        <v>0</v>
      </c>
      <c r="H2" s="6">
        <f>IF(G2&gt;D2,ROUNDDOWN(E2,0),ROUNDUP(E2,0))</f>
        <v>1</v>
      </c>
      <c r="I2" s="6">
        <f>IF(H2=0,0,(B$2-((D2*F2)+(H3*D3)+(H4*D4)+(H5*D5))))</f>
        <v>0</v>
      </c>
      <c r="J2" s="6">
        <f>IF(I2&lt;0,I2,"")</f>
      </c>
      <c r="K2" s="6">
        <f>IF(J2="",0,D2+I2)</f>
        <v>0</v>
      </c>
    </row>
    <row r="3" spans="3:11" ht="15">
      <c r="C3" s="1" t="s">
        <v>5</v>
      </c>
      <c r="D3" s="1">
        <v>1740</v>
      </c>
      <c r="E3" s="2">
        <f>IF(H4+H5=0,B$2/D3,IF((B2-((H5*D5)+(H4*D4)))&lt;=D2,0,((B2-((H4*D4)+(H5*D5)))/D3)))</f>
        <v>0.42528735632183906</v>
      </c>
      <c r="F3" s="1">
        <f>ROUNDUP(E3,0)</f>
        <v>1</v>
      </c>
      <c r="G3" s="1">
        <f>IF(F3=0,0,((H4*D4)+(H5*D5)+(D3*F3))-B2)</f>
        <v>1000</v>
      </c>
      <c r="H3" s="6">
        <f>IF(G3&gt;D2,ROUNDDOWN(E3,0),ROUNDUP(E3,0))</f>
        <v>0</v>
      </c>
      <c r="I3" s="6">
        <f>IF(H3=0,0,(B$2-((H4*D4)+(H5*D5)+(H3*D3))))</f>
        <v>0</v>
      </c>
      <c r="J3" s="6">
        <f>IF(I3&lt;0,I3,"")</f>
      </c>
      <c r="K3" s="6">
        <f>IF(J3="",0,D3+I3)</f>
        <v>0</v>
      </c>
    </row>
    <row r="4" spans="3:11" ht="15">
      <c r="C4" s="1" t="s">
        <v>6</v>
      </c>
      <c r="D4" s="1">
        <v>2740</v>
      </c>
      <c r="E4" s="2">
        <f>IF(H5=0,B2/D4,IF(I5&lt;=D3,0,(B2-(H5*D5))/D4))</f>
        <v>0.27007299270072993</v>
      </c>
      <c r="F4" s="1">
        <f>ROUNDUP(E4,0)</f>
        <v>1</v>
      </c>
      <c r="G4" s="1">
        <f>IF(F4=0,0,((H5*D5)+(D4*F4))-B2)</f>
        <v>2000</v>
      </c>
      <c r="H4" s="6">
        <f>IF(G4&gt;D2,ROUNDDOWN(E4,0),ROUNDUP(E4,0))</f>
        <v>0</v>
      </c>
      <c r="I4" s="6">
        <f>IF(H4=0,0,B$2-((H5*D5)+(H4*D4)))</f>
        <v>0</v>
      </c>
      <c r="J4" s="6">
        <f>IF(I4&lt;0,I4,"")</f>
      </c>
      <c r="K4" s="6">
        <f>IF(J4="",0,D4+I4)</f>
        <v>0</v>
      </c>
    </row>
    <row r="5" spans="3:11" ht="15">
      <c r="C5" s="1" t="s">
        <v>7</v>
      </c>
      <c r="D5" s="1">
        <v>3740</v>
      </c>
      <c r="E5" s="2">
        <f>IF(B2&gt;=D4,(B2/D5),0)</f>
        <v>0</v>
      </c>
      <c r="F5" s="1">
        <f>ROUNDUP(E5,0)</f>
        <v>0</v>
      </c>
      <c r="G5" s="1">
        <f>(D5*F5)-B2</f>
        <v>-740</v>
      </c>
      <c r="H5" s="6">
        <f>IF(G5&gt;=D2,ROUNDDOWN(E5,0),ROUNDUP(E5,0))</f>
        <v>0</v>
      </c>
      <c r="I5" s="6">
        <f>B$2-(D5*H5)</f>
        <v>740</v>
      </c>
      <c r="J5" s="6">
        <f>IF(I5&lt;0,I5,"")</f>
      </c>
      <c r="K5" s="6">
        <f>IF(J5="",0,D5+I5)</f>
        <v>0</v>
      </c>
    </row>
    <row r="6" ht="15">
      <c r="E6" s="2"/>
    </row>
    <row r="7" spans="2:5" ht="15">
      <c r="B7" s="1" t="s">
        <v>8</v>
      </c>
      <c r="C7" s="1" t="s">
        <v>1</v>
      </c>
      <c r="D7" s="1" t="s">
        <v>2</v>
      </c>
      <c r="E7" s="2"/>
    </row>
    <row r="8" spans="3:6" ht="15">
      <c r="C8" s="1" t="s">
        <v>4</v>
      </c>
      <c r="D8" s="1">
        <v>740</v>
      </c>
      <c r="E8" s="2">
        <f>B2/D8</f>
        <v>1</v>
      </c>
      <c r="F8" s="1">
        <f>ROUNDUP(E8,0)</f>
        <v>1</v>
      </c>
    </row>
    <row r="9" spans="3:7" ht="15">
      <c r="C9" s="1" t="s">
        <v>5</v>
      </c>
      <c r="D9" s="1">
        <v>1740</v>
      </c>
      <c r="E9" s="2">
        <f>B2/D9</f>
        <v>0.42528735632183906</v>
      </c>
      <c r="F9" s="1">
        <f>ROUNDUP(E9,0)</f>
        <v>1</v>
      </c>
      <c r="G9" s="1">
        <f>IF(F9&lt;F8,B2-(F9*D9),"")</f>
      </c>
    </row>
    <row r="10" spans="3:11" ht="15">
      <c r="C10" s="1" t="s">
        <v>6</v>
      </c>
      <c r="D10" s="1">
        <v>2740</v>
      </c>
      <c r="E10" s="2">
        <f>B2/D10</f>
        <v>0.27007299270072993</v>
      </c>
      <c r="F10" s="1">
        <f>ROUNDUP(E10,0)</f>
        <v>1</v>
      </c>
      <c r="G10" s="1">
        <f>IF(F10&lt;F9,B2-(F10*D10),"")</f>
      </c>
      <c r="H10" s="5" t="s">
        <v>3</v>
      </c>
      <c r="I10" s="5" t="s">
        <v>2</v>
      </c>
      <c r="J10" s="5" t="s">
        <v>17</v>
      </c>
      <c r="K10" s="5" t="s">
        <v>13</v>
      </c>
    </row>
    <row r="11" spans="3:14" ht="15">
      <c r="C11" s="1" t="s">
        <v>7</v>
      </c>
      <c r="D11" s="1">
        <v>3740</v>
      </c>
      <c r="E11" s="2">
        <f>B2/D11</f>
        <v>0.19786096256684493</v>
      </c>
      <c r="F11" s="1">
        <f>ROUNDUP(E11,0)</f>
        <v>1</v>
      </c>
      <c r="G11" s="1">
        <f>IF(F11&lt;F10,B2-(F11*D11),"")</f>
      </c>
      <c r="H11" s="6">
        <f>IF(F11&lt;F10,F11,IF(F10&lt;F9,F10,IF(F9&lt;F8,F9,F8)))</f>
        <v>1</v>
      </c>
      <c r="I11" s="6">
        <f>IF(F11&lt;F10,D11,IF(F10&lt;F9,D10,IF(F9&lt;D8,D9,F8)))</f>
        <v>1740</v>
      </c>
      <c r="J11" s="6">
        <f>IF(F11&lt;F10,G11,IF(F10&lt;F9,G10,IF(F9&lt;F8,G9,G8)))</f>
        <v>0</v>
      </c>
      <c r="K11" s="6">
        <f>I11-ABS(J11)</f>
        <v>1740</v>
      </c>
      <c r="L11" s="1">
        <f>IF(K11&lt;500,H11-2,0)</f>
        <v>0</v>
      </c>
      <c r="M11" s="5" t="s">
        <v>9</v>
      </c>
      <c r="N11" s="7">
        <f>IF(K11=I11,"",IF(AND(OR(K2&lt;500,K2=""),OR(K3&lt;500,K3=""),OR(K4&lt;500,K4=""),OR(K5&lt;500,K5="")),CONCATENATE(H11," Stange/en ",I11,"mm, eine Stange auf ",$K$11,"mm"),""))</f>
      </c>
    </row>
    <row r="12" spans="4:11" ht="15">
      <c r="D12" s="3"/>
      <c r="E12" s="4"/>
      <c r="F12" s="3"/>
      <c r="G12" s="3"/>
      <c r="H12" s="3"/>
      <c r="I12" s="3"/>
      <c r="J12" s="3"/>
      <c r="K12" s="3"/>
    </row>
    <row r="13" spans="2:11" ht="15">
      <c r="B13" s="1" t="s">
        <v>10</v>
      </c>
      <c r="C13" s="1" t="s">
        <v>1</v>
      </c>
      <c r="D13" s="1" t="s">
        <v>2</v>
      </c>
      <c r="E13" s="2"/>
      <c r="H13" s="5" t="s">
        <v>3</v>
      </c>
      <c r="I13" s="5"/>
      <c r="J13" s="5" t="s">
        <v>17</v>
      </c>
      <c r="K13" s="5" t="s">
        <v>13</v>
      </c>
    </row>
    <row r="14" spans="2:11" ht="15">
      <c r="B14" s="10">
        <f>IF(AND(K2&lt;500,K11&lt;500),B2-((H11-2)*I11),0)</f>
        <v>0</v>
      </c>
      <c r="C14" s="1" t="s">
        <v>4</v>
      </c>
      <c r="D14" s="1">
        <v>740</v>
      </c>
      <c r="E14" s="2">
        <f>IF((H15+H16+H17)=0,B14/D14,IF((B14-((H16*D16)+(H15*D15)+(H17*D17)))&lt;=0,0,((B14-((H15*D15)+(H16*D16)+(H17*D17)))/D14)))</f>
        <v>0</v>
      </c>
      <c r="F14" s="1">
        <f>ROUNDUP(E14,0)</f>
        <v>0</v>
      </c>
      <c r="G14" s="1">
        <f>IF(F14=0,0,((D14*F14)+(D15*H15)+(D16*H16)+(D17*H17))-B14)</f>
        <v>0</v>
      </c>
      <c r="H14" s="6">
        <f>IF(G14&gt;D14,ROUNDDOWN(E14,0),ROUNDUP(E14,0))</f>
        <v>0</v>
      </c>
      <c r="I14" s="6">
        <f>IF(H14=0,0,(B14-((D14*F14)+(H15*D15)+(H16*D16)+(H17*D17))))</f>
        <v>0</v>
      </c>
      <c r="J14" s="6">
        <f>IF(I14&lt;0,I14,"")</f>
      </c>
      <c r="K14" s="6">
        <f>IF(J14="","",D14+I14)</f>
      </c>
    </row>
    <row r="15" spans="3:11" ht="15">
      <c r="C15" s="1" t="s">
        <v>5</v>
      </c>
      <c r="D15" s="1">
        <v>1740</v>
      </c>
      <c r="E15" s="2">
        <f>IF(H16+H17=0,B14/D15,IF((B14-((H17*D17)+(H16*D16)))&lt;=D14,0,((B14-((H16*D16)+(H17*D17)))/D15)))</f>
        <v>0</v>
      </c>
      <c r="F15" s="1">
        <f>ROUNDUP(E15,0)</f>
        <v>0</v>
      </c>
      <c r="G15" s="1">
        <f>IF(F15=0,0,((H16*D16)+(H17*D17)+(D15*F15))-B14)</f>
        <v>0</v>
      </c>
      <c r="H15" s="6">
        <f>IF(G15&gt;D14,ROUNDDOWN(E15,0),ROUNDUP(E15,0))</f>
        <v>0</v>
      </c>
      <c r="I15" s="6">
        <f>IF(H15=0,0,(B14-((H16*D16)+(H17*D17)+(H15*D15))))</f>
        <v>0</v>
      </c>
      <c r="J15" s="6">
        <f>IF(I15&lt;0,I15,"")</f>
      </c>
      <c r="K15" s="6">
        <f>IF(J15="","",D15+I15)</f>
      </c>
    </row>
    <row r="16" spans="3:11" ht="15">
      <c r="C16" s="1" t="s">
        <v>6</v>
      </c>
      <c r="D16" s="1">
        <v>2740</v>
      </c>
      <c r="E16" s="2">
        <f>IF(H17=0,B14/D16,IF(I17&lt;=D15,0,(B43-(H17*D17))/D16))</f>
        <v>0</v>
      </c>
      <c r="F16" s="1">
        <f>ROUNDUP(E16,0)</f>
        <v>0</v>
      </c>
      <c r="G16" s="1">
        <f>IF(F16=0,0,((H17*D17)+(D16*F16))-B14)</f>
        <v>0</v>
      </c>
      <c r="H16" s="6">
        <f>IF(G16&gt;D14,ROUNDDOWN(E16,0),ROUNDUP(E16,0))</f>
        <v>0</v>
      </c>
      <c r="I16" s="6">
        <f>IF(H16=0,0,B14-((H17*D17)+(H16*D16)))</f>
        <v>0</v>
      </c>
      <c r="J16" s="6">
        <f>IF(I16&lt;0,I16,"")</f>
      </c>
      <c r="K16" s="6">
        <f>IF(J16="","",D16+I16)</f>
      </c>
    </row>
    <row r="17" spans="3:11" ht="15">
      <c r="C17" s="1" t="s">
        <v>7</v>
      </c>
      <c r="D17" s="1">
        <v>3740</v>
      </c>
      <c r="E17" s="2">
        <f>IF(B14&gt;=D16,(B14/D17),0)</f>
        <v>0</v>
      </c>
      <c r="F17" s="1">
        <f>ROUNDUP(E17,0)</f>
        <v>0</v>
      </c>
      <c r="G17" s="1">
        <f>(D17*F17)-B14</f>
        <v>0</v>
      </c>
      <c r="H17" s="6">
        <f>IF(G17&gt;=D14,ROUNDDOWN(E17,0),ROUNDUP(E17,0))</f>
        <v>0</v>
      </c>
      <c r="I17" s="6">
        <f>B14-(D17*H17)</f>
        <v>0</v>
      </c>
      <c r="J17" s="6">
        <f>IF(I17&lt;0,I17,"")</f>
      </c>
      <c r="K17" s="6">
        <f>IF(J17="","",D17+I17)</f>
      </c>
    </row>
    <row r="18" ht="15">
      <c r="E18" s="2"/>
    </row>
    <row r="19" ht="15">
      <c r="E19" s="2"/>
    </row>
    <row r="20" spans="2:6" ht="15">
      <c r="B20" s="1" t="s">
        <v>11</v>
      </c>
      <c r="C20" s="1" t="s">
        <v>4</v>
      </c>
      <c r="D20" s="1">
        <v>740</v>
      </c>
      <c r="E20" s="2">
        <f>B$14/D20</f>
        <v>0</v>
      </c>
      <c r="F20" s="1">
        <f>ROUNDUP(E20,0)</f>
        <v>0</v>
      </c>
    </row>
    <row r="21" spans="3:8" ht="15">
      <c r="C21" s="1" t="s">
        <v>5</v>
      </c>
      <c r="D21" s="1">
        <v>1740</v>
      </c>
      <c r="E21" s="2">
        <f>B$14/D21</f>
        <v>0</v>
      </c>
      <c r="F21" s="1">
        <f>ROUNDUP(E21,0)</f>
        <v>0</v>
      </c>
      <c r="G21" s="3">
        <f>IF(F21&lt;F20,B14-(F21*D21),"")</f>
      </c>
      <c r="H21" s="3"/>
    </row>
    <row r="22" spans="3:11" ht="15">
      <c r="C22" s="1" t="s">
        <v>6</v>
      </c>
      <c r="D22" s="1">
        <v>2740</v>
      </c>
      <c r="E22" s="2">
        <f>B$14/D22</f>
        <v>0</v>
      </c>
      <c r="F22" s="1">
        <f>ROUNDUP(E22,0)</f>
        <v>0</v>
      </c>
      <c r="G22" s="3">
        <f>IF(F22&lt;F21,B14-(F22*D22),"")</f>
      </c>
      <c r="H22" s="5" t="s">
        <v>3</v>
      </c>
      <c r="I22" s="5" t="s">
        <v>2</v>
      </c>
      <c r="J22" s="5" t="s">
        <v>17</v>
      </c>
      <c r="K22" s="5" t="s">
        <v>13</v>
      </c>
    </row>
    <row r="23" spans="3:14" ht="15">
      <c r="C23" s="1" t="s">
        <v>7</v>
      </c>
      <c r="D23" s="1">
        <v>3740</v>
      </c>
      <c r="E23" s="2">
        <f>$B$14/D23</f>
        <v>0</v>
      </c>
      <c r="F23" s="1">
        <f>ROUNDUP(E23,0)</f>
        <v>0</v>
      </c>
      <c r="G23" s="1">
        <f>IF(F23&lt;F22,$B$14-(F23*D23),"")</f>
      </c>
      <c r="H23" s="6">
        <f>IF(F23&lt;F22,F23,IF(F22&lt;F21,F22,IF(F21&lt;F20,F21,F20)))</f>
        <v>0</v>
      </c>
      <c r="I23" s="6">
        <f>IF(F23&lt;F22,D23,IF(F22&lt;F21,D22,IF(F21&lt;D20,D21,)))</f>
        <v>1740</v>
      </c>
      <c r="J23" s="6">
        <f>IF(F23&lt;F22,G23,IF(F22&lt;F21,G22,IF(F21&lt;F20,G21,G20)))</f>
        <v>0</v>
      </c>
      <c r="K23" s="6">
        <f>I23-ABS(J23)</f>
        <v>1740</v>
      </c>
      <c r="M23" s="5" t="s">
        <v>9</v>
      </c>
      <c r="N23" s="7">
        <f>IF(K23=I23,"",IF(AND(OR(K14&lt;500,K14=""),OR(K15&lt;500,K15=""),OR(K16&lt;500,K16=""),OR(K17&lt;500,K17="")),CONCATENATE(H23," Stange/en ",I23,"mm, eine Stange auf ",$K$23,"mm"),""))</f>
      </c>
    </row>
    <row r="24" spans="4:11" ht="15">
      <c r="D24" s="3"/>
      <c r="E24" s="3"/>
      <c r="F24" s="3"/>
      <c r="G24" s="3"/>
      <c r="H24" s="3"/>
      <c r="I24" s="3"/>
      <c r="J24" s="3"/>
      <c r="K24" s="3"/>
    </row>
    <row r="25" spans="4:20" ht="15">
      <c r="D25" s="1" t="s">
        <v>2</v>
      </c>
      <c r="E25" s="1" t="s">
        <v>12</v>
      </c>
      <c r="G25" s="1" t="s">
        <v>57</v>
      </c>
      <c r="H25" s="1" t="s">
        <v>13</v>
      </c>
      <c r="I25" s="1" t="s">
        <v>14</v>
      </c>
      <c r="K25" s="1" t="s">
        <v>57</v>
      </c>
      <c r="L25" s="1" t="s">
        <v>13</v>
      </c>
      <c r="M25" s="1" t="s">
        <v>15</v>
      </c>
      <c r="O25" s="1" t="s">
        <v>57</v>
      </c>
      <c r="P25" s="1" t="s">
        <v>13</v>
      </c>
      <c r="Q25" s="1" t="s">
        <v>16</v>
      </c>
      <c r="S25" s="1" t="s">
        <v>57</v>
      </c>
      <c r="T25" s="1" t="s">
        <v>13</v>
      </c>
    </row>
    <row r="26" spans="4:20" ht="15">
      <c r="D26" s="1">
        <v>740</v>
      </c>
      <c r="E26" s="1">
        <f>IF(N11="",H2,0)</f>
        <v>1</v>
      </c>
      <c r="F26" s="1">
        <f>IF(N11="",$K2,0)</f>
        <v>0</v>
      </c>
      <c r="G26" s="1">
        <f>IF(F26&gt;0,SUM(E$26:E$29)-1,0)</f>
        <v>0</v>
      </c>
      <c r="H26" s="1">
        <f>F26-G26*10</f>
        <v>0</v>
      </c>
      <c r="I26" s="1">
        <f>IF(L11=0,IF(N11&lt;&gt;"",IF(I11=D26,H11,0),0),IF(I11=D26,L11,0))</f>
        <v>0</v>
      </c>
      <c r="J26" s="1">
        <f>IF(AND(N11&lt;&gt;"",L11=0),IF(I11=D26,K11,0),0)</f>
        <v>0</v>
      </c>
      <c r="K26" s="1">
        <f>IF(J26&gt;0,SUM(I$26:I$29)-1,0)</f>
        <v>0</v>
      </c>
      <c r="L26" s="1">
        <f>J26-K26*10</f>
        <v>0</v>
      </c>
      <c r="M26" s="1">
        <f>IF(AND(K11&lt;500,N23=""),H14,0)</f>
        <v>0</v>
      </c>
      <c r="N26" s="1">
        <f>IF(AND(K11&lt;500,N23=""),K14,0)</f>
        <v>0</v>
      </c>
      <c r="O26" s="1">
        <f>IF(N26&gt;0,SUM(M$26:M$29)-1,0)</f>
        <v>0</v>
      </c>
      <c r="P26" s="1">
        <f>N26-O26*10</f>
        <v>0</v>
      </c>
      <c r="Q26" s="1">
        <f>IF(N23&lt;&gt;"",IF(D26=I23,H23,0),0)</f>
        <v>0</v>
      </c>
      <c r="R26" s="1">
        <f>IF(N23&lt;&gt;"",IF(D26=I23,K23,0),0)</f>
        <v>0</v>
      </c>
      <c r="S26" s="1">
        <f>IF(R26&gt;0,SUM(Q$26:Q$29)-1,0)</f>
        <v>0</v>
      </c>
      <c r="T26" s="1">
        <f>R26-S26*10</f>
        <v>0</v>
      </c>
    </row>
    <row r="27" spans="4:20" ht="15">
      <c r="D27" s="1">
        <v>1740</v>
      </c>
      <c r="E27" s="1">
        <f>IF(N11="",H3,0)</f>
        <v>0</v>
      </c>
      <c r="F27" s="1">
        <f>IF(N11="",$K3,0)</f>
        <v>0</v>
      </c>
      <c r="G27" s="1">
        <f>IF(F27&gt;0,SUM(E$26:E$29)-1,0)</f>
        <v>0</v>
      </c>
      <c r="H27" s="1">
        <f>F27-G27*10</f>
        <v>0</v>
      </c>
      <c r="I27" s="1">
        <f>IF(L11=0,IF(N11&lt;&gt;"",IF(I11=D27,H11,0),0),IF($I$11=D27,$L$11,0))</f>
        <v>0</v>
      </c>
      <c r="J27" s="1">
        <f>IF(AND(N11&lt;&gt;"",L11=0),IF(I11=D27,K11,0),0)</f>
        <v>0</v>
      </c>
      <c r="K27" s="1">
        <f>IF(J27&gt;0,SUM(I$26:I$29)-1,0)</f>
        <v>0</v>
      </c>
      <c r="L27" s="1">
        <f>J27-K27*10</f>
        <v>0</v>
      </c>
      <c r="M27" s="1">
        <f>IF(AND(K11&lt;500,N23=""),H15,0)</f>
        <v>0</v>
      </c>
      <c r="N27" s="1">
        <f>IF(AND(K11&lt;500,N23=""),K15,0)</f>
        <v>0</v>
      </c>
      <c r="O27" s="1">
        <f>IF(N27&gt;0,SUM(M$26:M$29)-1,0)</f>
        <v>0</v>
      </c>
      <c r="P27" s="1">
        <f>N27-O27*10</f>
        <v>0</v>
      </c>
      <c r="Q27" s="1">
        <f>IF(N23&lt;&gt;"",IF(D27=I23,H23,0),0)</f>
        <v>0</v>
      </c>
      <c r="R27" s="1">
        <f>IF(N23&lt;&gt;"",IF(D27=I23,K23,0),0)</f>
        <v>0</v>
      </c>
      <c r="S27" s="1">
        <f>IF(R27&gt;0,SUM(Q$26:Q$29)-1,0)</f>
        <v>0</v>
      </c>
      <c r="T27" s="1">
        <f>R27-S27*10</f>
        <v>0</v>
      </c>
    </row>
    <row r="28" spans="4:20" ht="15">
      <c r="D28" s="1">
        <v>2740</v>
      </c>
      <c r="E28" s="1">
        <f>IF(N11="",H4,0)</f>
        <v>0</v>
      </c>
      <c r="F28" s="1">
        <f>IF(N11="",$K4,0)</f>
        <v>0</v>
      </c>
      <c r="G28" s="1">
        <f>IF(F28&gt;0,SUM(E$26:E$29)-1,0)</f>
        <v>0</v>
      </c>
      <c r="H28" s="1">
        <f>F28-G28*10</f>
        <v>0</v>
      </c>
      <c r="I28" s="1">
        <f>IF(L11=0,IF(N11&lt;&gt;"",IF(I11=D28,H11,0),0),IF($I$11=D28,$L$11,0))</f>
        <v>0</v>
      </c>
      <c r="J28" s="1">
        <f>IF(AND(N11&lt;&gt;"",L11=0),IF(I11=D28,K11,0),0)</f>
        <v>0</v>
      </c>
      <c r="K28" s="1">
        <f>IF(J28&gt;0,SUM(I$26:I$29)-1,0)</f>
        <v>0</v>
      </c>
      <c r="L28" s="1">
        <f>J28-K28*10</f>
        <v>0</v>
      </c>
      <c r="M28" s="1">
        <f>IF(AND(K11&lt;500,N23=""),H16,0)</f>
        <v>0</v>
      </c>
      <c r="N28" s="1">
        <f>IF(AND(K11&lt;500,N23=""),K16,0)</f>
        <v>0</v>
      </c>
      <c r="O28" s="1">
        <f>IF(N28&gt;0,SUM(M$26:M$29)-1,0)</f>
        <v>0</v>
      </c>
      <c r="P28" s="1">
        <f>N28-O28*10</f>
        <v>0</v>
      </c>
      <c r="Q28" s="1">
        <f>IF(N23&lt;&gt;"",IF(D28=I23,H23,0),0)</f>
        <v>0</v>
      </c>
      <c r="R28" s="1">
        <f>IF(N23&lt;&gt;"",IF(D28=I23,K23,0),0)</f>
        <v>0</v>
      </c>
      <c r="S28" s="1">
        <f>IF(R28&gt;0,SUM(Q$26:Q$29)-1,0)</f>
        <v>0</v>
      </c>
      <c r="T28" s="1">
        <f>R28-S28*10</f>
        <v>0</v>
      </c>
    </row>
    <row r="29" spans="4:20" ht="15">
      <c r="D29" s="1">
        <v>3740</v>
      </c>
      <c r="E29" s="1">
        <f>IF(N11="",H5,0)</f>
        <v>0</v>
      </c>
      <c r="F29" s="1">
        <f>IF(N11="",$K5,0)</f>
        <v>0</v>
      </c>
      <c r="G29" s="1">
        <f>IF(F29&gt;0,SUM(E$26:E$29)-1,0)</f>
        <v>0</v>
      </c>
      <c r="H29" s="1">
        <f>F29-G29*10</f>
        <v>0</v>
      </c>
      <c r="I29" s="1">
        <f>IF(L11=0,IF(N11&lt;&gt;"",IF(I11=D29,H11,0),0),IF($I$11=D29,$L$11,0))</f>
        <v>0</v>
      </c>
      <c r="J29" s="1">
        <f>IF(AND(N11&lt;&gt;"",$L$11=0),IF($I$11=D29,$K$11,0),0)</f>
        <v>0</v>
      </c>
      <c r="K29" s="1">
        <f>IF(J29&gt;0,SUM(I$26:I$29)-1,0)</f>
        <v>0</v>
      </c>
      <c r="L29" s="1">
        <f>J29-K29*10</f>
        <v>0</v>
      </c>
      <c r="M29" s="1">
        <f>IF(AND(K11&lt;500,N23=""),H17,0)</f>
        <v>0</v>
      </c>
      <c r="N29" s="1">
        <f>IF(AND(K11&lt;500,N23=""),K17,0)</f>
        <v>0</v>
      </c>
      <c r="O29" s="1">
        <f>IF(N29&gt;0,SUM(M$26:M$29)-1,0)</f>
        <v>0</v>
      </c>
      <c r="P29" s="1">
        <f>N29-O29*10</f>
        <v>0</v>
      </c>
      <c r="Q29" s="1">
        <f>IF(N23&lt;&gt;"",IF(D29=I23,H23,0),0)</f>
        <v>0</v>
      </c>
      <c r="R29" s="1">
        <f>IF(N23&lt;&gt;"",IF(D29=I23,K23,0),0)</f>
        <v>0</v>
      </c>
      <c r="S29" s="1">
        <f>IF(R29&gt;0,SUM(Q$26:Q$29)-1,0)</f>
        <v>0</v>
      </c>
      <c r="T29" s="1">
        <f>R29-S29*10</f>
        <v>0</v>
      </c>
    </row>
    <row r="30" spans="7:19" ht="15">
      <c r="G30" s="1">
        <f>SUM(G26:G29)</f>
        <v>0</v>
      </c>
      <c r="K30" s="1">
        <f>SUM(K26:K29)</f>
        <v>0</v>
      </c>
      <c r="O30" s="1">
        <f>SUM(O26:O29)</f>
        <v>0</v>
      </c>
      <c r="S30" s="1">
        <f>SUM(S26:S29)</f>
        <v>0</v>
      </c>
    </row>
    <row r="32" spans="4:7" ht="15">
      <c r="D32" s="11" t="s">
        <v>9</v>
      </c>
      <c r="E32" s="11" t="s">
        <v>3</v>
      </c>
      <c r="F32" s="11" t="s">
        <v>13</v>
      </c>
      <c r="G32" s="11" t="s">
        <v>57</v>
      </c>
    </row>
    <row r="33" spans="4:7" ht="15">
      <c r="D33" s="11">
        <v>740</v>
      </c>
      <c r="E33" s="6">
        <f>SUM(E26,I26,M26,Q26)</f>
        <v>1</v>
      </c>
      <c r="F33" s="6">
        <f>IF(T26&lt;&gt;0,T26,IF(P26&lt;&gt;0,P26,IF(L26&lt;&gt;0,L26,IF(H26&lt;&gt;0,H26,""))))</f>
      </c>
      <c r="G33" s="6">
        <f>SUM(G30,K30,O30,S30)</f>
        <v>0</v>
      </c>
    </row>
    <row r="34" spans="4:9" ht="15">
      <c r="D34" s="11">
        <v>1740</v>
      </c>
      <c r="E34" s="6">
        <f>SUM(E27,I27,M27,Q27)</f>
        <v>0</v>
      </c>
      <c r="F34" s="6">
        <f>IF(T27&lt;&gt;0,T27,IF(P27&lt;&gt;0,P27,IF(L27&lt;&gt;0,L27,IF(H27&lt;&gt;0,H27,""))))</f>
      </c>
      <c r="G34" s="3"/>
      <c r="H34" s="3"/>
      <c r="I34" s="3"/>
    </row>
    <row r="35" spans="4:9" ht="15">
      <c r="D35" s="11">
        <v>2740</v>
      </c>
      <c r="E35" s="6">
        <f>SUM(E28,I28,M28,Q28)</f>
        <v>0</v>
      </c>
      <c r="F35" s="6">
        <f>IF(T28&lt;&gt;0,T28,IF(P28&lt;&gt;0,P28,IF(L28&lt;&gt;0,L28,IF(H28&lt;&gt;0,H28,""))))</f>
      </c>
      <c r="G35" s="3"/>
      <c r="H35" s="3"/>
      <c r="I35" s="3"/>
    </row>
    <row r="36" spans="4:9" ht="15">
      <c r="D36" s="11">
        <v>3740</v>
      </c>
      <c r="E36" s="6">
        <f>SUM(E29,I29,M29,Q29)</f>
        <v>0</v>
      </c>
      <c r="F36" s="6">
        <f>IF(T29&lt;&gt;0,T29,IF(P29&lt;&gt;0,P29,IF(L29&lt;&gt;0,L29,IF(H29&lt;&gt;0,H29,""))))</f>
      </c>
      <c r="G36" s="3"/>
      <c r="H36" s="3"/>
      <c r="I36" s="3"/>
    </row>
    <row r="37" spans="4:6" ht="15">
      <c r="D37" s="11" t="s">
        <v>18</v>
      </c>
      <c r="E37" s="86">
        <f>B2</f>
        <v>740</v>
      </c>
      <c r="F37" s="87"/>
    </row>
    <row r="39" spans="3:4" ht="15">
      <c r="C39" s="16">
        <f>IF(Breite!D39=0,"",Breite!D39)</f>
        <v>2</v>
      </c>
      <c r="D39" s="14">
        <f>IF(Breite!F33="",Breite!E33*2,Breite!E33*2-2)</f>
        <v>2</v>
      </c>
    </row>
    <row r="40" spans="3:4" ht="15">
      <c r="C40" s="16">
        <f>IF(Breite!D40=0,"",Breite!D40)</f>
      </c>
      <c r="D40" s="14">
        <f>IF(Breite!F34="",Breite!E34*2,Breite!E34*2-2)</f>
        <v>0</v>
      </c>
    </row>
    <row r="41" spans="3:4" ht="15">
      <c r="C41" s="16">
        <f>IF(Breite!D41=0,"",Breite!D41)</f>
      </c>
      <c r="D41" s="14">
        <f>IF(Breite!F35="",Breite!E35*2,Breite!E35*2-2)</f>
        <v>0</v>
      </c>
    </row>
    <row r="42" spans="3:4" ht="15">
      <c r="C42" s="16">
        <f>IF(Breite!D42=0,"",Breite!D42)</f>
      </c>
      <c r="D42" s="14">
        <f>IF(Breite!F36="",Breite!E36*2,Breite!E36*2-2)</f>
        <v>0</v>
      </c>
    </row>
  </sheetData>
  <sheetProtection/>
  <mergeCells count="1">
    <mergeCell ref="E37:F3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zoomScalePageLayoutView="0" workbookViewId="0" topLeftCell="A1">
      <selection activeCell="C2" sqref="C2"/>
    </sheetView>
  </sheetViews>
  <sheetFormatPr defaultColWidth="12" defaultRowHeight="11.25"/>
  <cols>
    <col min="1" max="1" width="7.16015625" style="1" bestFit="1" customWidth="1"/>
    <col min="2" max="2" width="8.66015625" style="1" bestFit="1" customWidth="1"/>
    <col min="3" max="3" width="8.33203125" style="1" bestFit="1" customWidth="1"/>
    <col min="4" max="4" width="11.16015625" style="1" bestFit="1" customWidth="1"/>
    <col min="5" max="5" width="12.33203125" style="1" bestFit="1" customWidth="1"/>
    <col min="6" max="6" width="11.16015625" style="1" bestFit="1" customWidth="1"/>
    <col min="7" max="7" width="12" style="1" bestFit="1" customWidth="1"/>
    <col min="8" max="8" width="11.16015625" style="1" bestFit="1" customWidth="1"/>
    <col min="9" max="9" width="12.33203125" style="1" bestFit="1" customWidth="1"/>
    <col min="10" max="10" width="12.16015625" style="1" bestFit="1" customWidth="1"/>
    <col min="11" max="11" width="12" style="1" bestFit="1" customWidth="1"/>
    <col min="12" max="12" width="11.16015625" style="1" bestFit="1" customWidth="1"/>
    <col min="13" max="13" width="12.33203125" style="1" bestFit="1" customWidth="1"/>
    <col min="14" max="14" width="8" style="1" customWidth="1"/>
    <col min="15" max="15" width="12" style="1" customWidth="1"/>
    <col min="16" max="16" width="11.16015625" style="1" bestFit="1" customWidth="1"/>
    <col min="17" max="17" width="12.33203125" style="1" bestFit="1" customWidth="1"/>
    <col min="18" max="18" width="8" style="1" customWidth="1"/>
    <col min="19" max="19" width="12" style="1" customWidth="1"/>
    <col min="20" max="20" width="11.16015625" style="1" bestFit="1" customWidth="1"/>
    <col min="21" max="16384" width="12" style="1" customWidth="1"/>
  </cols>
  <sheetData>
    <row r="1" spans="1:11" ht="15">
      <c r="A1" s="8" t="s">
        <v>19</v>
      </c>
      <c r="C1" s="1" t="s">
        <v>1</v>
      </c>
      <c r="D1" s="1" t="s">
        <v>2</v>
      </c>
      <c r="H1" s="5" t="s">
        <v>3</v>
      </c>
      <c r="I1" s="5"/>
      <c r="J1" s="5" t="s">
        <v>17</v>
      </c>
      <c r="K1" s="5" t="s">
        <v>13</v>
      </c>
    </row>
    <row r="2" spans="1:11" ht="15">
      <c r="A2" s="9">
        <f>Eingabe!H9</f>
        <v>1000</v>
      </c>
      <c r="B2" s="10">
        <f>A2-260</f>
        <v>740</v>
      </c>
      <c r="C2" s="1" t="s">
        <v>4</v>
      </c>
      <c r="D2" s="1">
        <v>740</v>
      </c>
      <c r="E2" s="2">
        <f>IF((H3+H4+H5)=0,B$2/D2,IF((B2-((H4*D4)+(H3*D3)+(H5*D5)))&lt;=0,0,((B2-((H3*D3)+(H4*D4)+(H5*D5)))/D2)))</f>
        <v>1</v>
      </c>
      <c r="F2" s="1">
        <f>ROUNDUP(E2,0)</f>
        <v>1</v>
      </c>
      <c r="G2" s="1">
        <f>IF(F2=0,0,((D2*F2)+(D3*H3)+(D4*H4)+(D5*H5))-B2)</f>
        <v>0</v>
      </c>
      <c r="H2" s="6">
        <f>IF(G2&gt;D2,ROUNDDOWN(E2,0),ROUNDUP(E2,0))</f>
        <v>1</v>
      </c>
      <c r="I2" s="6">
        <f>IF(H2=0,0,(B$2-((D2*F2)+(H3*D3)+(H4*D4)+(H5*D5))))</f>
        <v>0</v>
      </c>
      <c r="J2" s="6">
        <f>IF(I2&lt;0,I2,"")</f>
      </c>
      <c r="K2" s="6">
        <f>IF(J2="",0,D2+I2)</f>
        <v>0</v>
      </c>
    </row>
    <row r="3" spans="3:11" ht="15">
      <c r="C3" s="1" t="s">
        <v>5</v>
      </c>
      <c r="D3" s="1">
        <v>1740</v>
      </c>
      <c r="E3" s="2">
        <f>IF(H4+H5=0,B$2/D3,IF((B2-((H5*D5)+(H4*D4)))&lt;=D2,0,((B2-((H4*D4)+(H5*D5)))/D3)))</f>
        <v>0.42528735632183906</v>
      </c>
      <c r="F3" s="1">
        <f>ROUNDUP(E3,0)</f>
        <v>1</v>
      </c>
      <c r="G3" s="1">
        <f>IF(F3=0,0,((H4*D4)+(H5*D5)+(D3*F3))-B2)</f>
        <v>1000</v>
      </c>
      <c r="H3" s="6">
        <f>IF(G3&gt;D2,ROUNDDOWN(E3,0),ROUNDUP(E3,0))</f>
        <v>0</v>
      </c>
      <c r="I3" s="6">
        <f>IF(H3=0,0,(B$2-((H4*D4)+(H5*D5)+(H3*D3))))</f>
        <v>0</v>
      </c>
      <c r="J3" s="6">
        <f>IF(I3&lt;0,I3,"")</f>
      </c>
      <c r="K3" s="6">
        <f>IF(J3="",0,D3+I3)</f>
        <v>0</v>
      </c>
    </row>
    <row r="4" spans="3:11" ht="15">
      <c r="C4" s="1" t="s">
        <v>6</v>
      </c>
      <c r="D4" s="1">
        <v>2740</v>
      </c>
      <c r="E4" s="2">
        <f>IF(H5=0,B2/D4,IF(I5&lt;=D3,0,(B2-(H5*D5))/D4))</f>
        <v>0.27007299270072993</v>
      </c>
      <c r="F4" s="1">
        <f>ROUNDUP(E4,0)</f>
        <v>1</v>
      </c>
      <c r="G4" s="1">
        <f>IF(F4=0,0,((H5*D5)+(D4*F4))-B2)</f>
        <v>2000</v>
      </c>
      <c r="H4" s="6">
        <f>IF(G4&gt;D2,ROUNDDOWN(E4,0),ROUNDUP(E4,0))</f>
        <v>0</v>
      </c>
      <c r="I4" s="6">
        <f>IF(H4=0,0,B$2-((H5*D5)+(H4*D4)))</f>
        <v>0</v>
      </c>
      <c r="J4" s="6">
        <f>IF(I4&lt;0,I4,"")</f>
      </c>
      <c r="K4" s="6">
        <f>IF(J4="",0,D4+I4)</f>
        <v>0</v>
      </c>
    </row>
    <row r="5" spans="3:11" ht="15">
      <c r="C5" s="1" t="s">
        <v>7</v>
      </c>
      <c r="D5" s="1">
        <v>3740</v>
      </c>
      <c r="E5" s="2">
        <f>IF(B2&gt;=D4,(B2/D5),0)</f>
        <v>0</v>
      </c>
      <c r="F5" s="1">
        <f>ROUNDUP(E5,0)</f>
        <v>0</v>
      </c>
      <c r="G5" s="1">
        <f>(D5*F5)-B2</f>
        <v>-740</v>
      </c>
      <c r="H5" s="6">
        <f>IF(G5&gt;=D2,ROUNDDOWN(E5,0),ROUNDUP(E5,0))</f>
        <v>0</v>
      </c>
      <c r="I5" s="6">
        <f>B$2-(D5*H5)</f>
        <v>740</v>
      </c>
      <c r="J5" s="6">
        <f>IF(I5&lt;0,I5,"")</f>
      </c>
      <c r="K5" s="6">
        <f>IF(J5="",0,D5+I5)</f>
        <v>0</v>
      </c>
    </row>
    <row r="6" ht="15">
      <c r="E6" s="2"/>
    </row>
    <row r="7" spans="2:5" ht="15">
      <c r="B7" s="1" t="s">
        <v>8</v>
      </c>
      <c r="C7" s="1" t="s">
        <v>1</v>
      </c>
      <c r="D7" s="1" t="s">
        <v>2</v>
      </c>
      <c r="E7" s="2"/>
    </row>
    <row r="8" spans="3:6" ht="15">
      <c r="C8" s="1" t="s">
        <v>4</v>
      </c>
      <c r="D8" s="1">
        <v>740</v>
      </c>
      <c r="E8" s="2">
        <f>B2/D8</f>
        <v>1</v>
      </c>
      <c r="F8" s="1">
        <f>ROUNDUP(E8,0)</f>
        <v>1</v>
      </c>
    </row>
    <row r="9" spans="3:7" ht="15">
      <c r="C9" s="1" t="s">
        <v>5</v>
      </c>
      <c r="D9" s="1">
        <v>1740</v>
      </c>
      <c r="E9" s="2">
        <f>B2/D9</f>
        <v>0.42528735632183906</v>
      </c>
      <c r="F9" s="1">
        <f>ROUNDUP(E9,0)</f>
        <v>1</v>
      </c>
      <c r="G9" s="1">
        <f>IF(F9&lt;F8,B2-(F9*D9),"")</f>
      </c>
    </row>
    <row r="10" spans="3:11" ht="15">
      <c r="C10" s="1" t="s">
        <v>6</v>
      </c>
      <c r="D10" s="1">
        <v>2740</v>
      </c>
      <c r="E10" s="2">
        <f>B2/D10</f>
        <v>0.27007299270072993</v>
      </c>
      <c r="F10" s="1">
        <f>ROUNDUP(E10,0)</f>
        <v>1</v>
      </c>
      <c r="G10" s="1">
        <f>IF(F10&lt;F9,B2-(F10*D10),"")</f>
      </c>
      <c r="H10" s="5" t="s">
        <v>3</v>
      </c>
      <c r="I10" s="5" t="s">
        <v>2</v>
      </c>
      <c r="J10" s="5" t="s">
        <v>17</v>
      </c>
      <c r="K10" s="5" t="s">
        <v>13</v>
      </c>
    </row>
    <row r="11" spans="3:14" ht="15">
      <c r="C11" s="1" t="s">
        <v>7</v>
      </c>
      <c r="D11" s="1">
        <v>3740</v>
      </c>
      <c r="E11" s="2">
        <f>B2/D11</f>
        <v>0.19786096256684493</v>
      </c>
      <c r="F11" s="1">
        <f>ROUNDUP(E11,0)</f>
        <v>1</v>
      </c>
      <c r="G11" s="1">
        <f>IF(F11&lt;F10,B2-(F11*D11),"")</f>
      </c>
      <c r="H11" s="6">
        <f>IF(F11&lt;F10,F11,IF(F10&lt;F9,F10,IF(F9&lt;F8,F9,F8)))</f>
        <v>1</v>
      </c>
      <c r="I11" s="6">
        <f>IF(F11&lt;F10,D11,IF(F10&lt;F9,D10,IF(F9&lt;D8,D9,F8)))</f>
        <v>1740</v>
      </c>
      <c r="J11" s="6">
        <f>IF(F11&lt;F10,G11,IF(F10&lt;F9,G10,IF(F9&lt;F8,G9,G8)))</f>
        <v>0</v>
      </c>
      <c r="K11" s="6">
        <f>I11-ABS(J11)</f>
        <v>1740</v>
      </c>
      <c r="L11" s="1">
        <f>IF(K11&lt;500,H11-2,0)</f>
        <v>0</v>
      </c>
      <c r="M11" s="5" t="s">
        <v>9</v>
      </c>
      <c r="N11" s="7">
        <f>IF(K11=I11,"",IF(AND(OR(K2&lt;500,K2=""),OR(K3&lt;500,K3=""),OR(K4&lt;500,K4=""),OR(K5&lt;500,K5="")),CONCATENATE(H11," Stange/en ",I11,"mm, eine Stange auf ",$K$11,"mm"),""))</f>
      </c>
    </row>
    <row r="12" spans="4:11" ht="15">
      <c r="D12" s="3"/>
      <c r="E12" s="4"/>
      <c r="F12" s="3"/>
      <c r="G12" s="3"/>
      <c r="H12" s="3"/>
      <c r="I12" s="3"/>
      <c r="J12" s="3"/>
      <c r="K12" s="3"/>
    </row>
    <row r="13" spans="2:11" ht="15">
      <c r="B13" s="1" t="s">
        <v>10</v>
      </c>
      <c r="C13" s="1" t="s">
        <v>1</v>
      </c>
      <c r="D13" s="1" t="s">
        <v>2</v>
      </c>
      <c r="E13" s="2"/>
      <c r="H13" s="5" t="s">
        <v>3</v>
      </c>
      <c r="I13" s="5"/>
      <c r="J13" s="5" t="s">
        <v>17</v>
      </c>
      <c r="K13" s="5" t="s">
        <v>13</v>
      </c>
    </row>
    <row r="14" spans="2:11" ht="15">
      <c r="B14" s="10">
        <f>IF(AND(K2&lt;500,K11&lt;500),B2-((H11-2)*I11),0)</f>
        <v>0</v>
      </c>
      <c r="C14" s="1" t="s">
        <v>4</v>
      </c>
      <c r="D14" s="1">
        <v>740</v>
      </c>
      <c r="E14" s="2">
        <f>IF((H15+H16+H17)=0,B14/D14,IF((B14-((H16*D16)+(H15*D15)+(H17*D17)))&lt;=0,0,((B14-((H15*D15)+(H16*D16)+(H17*D17)))/D14)))</f>
        <v>0</v>
      </c>
      <c r="F14" s="1">
        <f>ROUNDUP(E14,0)</f>
        <v>0</v>
      </c>
      <c r="G14" s="1">
        <f>IF(F14=0,0,((D14*F14)+(D15*H15)+(D16*H16)+(D17*H17))-B14)</f>
        <v>0</v>
      </c>
      <c r="H14" s="6">
        <f>IF(G14&gt;D14,ROUNDDOWN(E14,0),ROUNDUP(E14,0))</f>
        <v>0</v>
      </c>
      <c r="I14" s="6">
        <f>IF(H14=0,0,(B14-((D14*F14)+(H15*D15)+(H16*D16)+(H17*D17))))</f>
        <v>0</v>
      </c>
      <c r="J14" s="6">
        <f>IF(I14&lt;0,I14,"")</f>
      </c>
      <c r="K14" s="6">
        <f>IF(J14="","",D14+I14)</f>
      </c>
    </row>
    <row r="15" spans="3:11" ht="15">
      <c r="C15" s="1" t="s">
        <v>5</v>
      </c>
      <c r="D15" s="1">
        <v>1740</v>
      </c>
      <c r="E15" s="2">
        <f>IF(H16+H17=0,B14/D15,IF((B14-((H17*D17)+(H16*D16)))&lt;=D14,0,((B14-((H16*D16)+(H17*D17)))/D15)))</f>
        <v>0</v>
      </c>
      <c r="F15" s="1">
        <f>ROUNDUP(E15,0)</f>
        <v>0</v>
      </c>
      <c r="G15" s="1">
        <f>IF(F15=0,0,((H16*D16)+(H17*D17)+(D15*F15))-B14)</f>
        <v>0</v>
      </c>
      <c r="H15" s="6">
        <f>IF(G15&gt;D14,ROUNDDOWN(E15,0),ROUNDUP(E15,0))</f>
        <v>0</v>
      </c>
      <c r="I15" s="6">
        <f>IF(H15=0,0,(B14-((H16*D16)+(H17*D17)+(H15*D15))))</f>
        <v>0</v>
      </c>
      <c r="J15" s="6">
        <f>IF(I15&lt;0,I15,"")</f>
      </c>
      <c r="K15" s="6">
        <f>IF(J15="","",D15+I15)</f>
      </c>
    </row>
    <row r="16" spans="3:11" ht="15">
      <c r="C16" s="1" t="s">
        <v>6</v>
      </c>
      <c r="D16" s="1">
        <v>2740</v>
      </c>
      <c r="E16" s="2">
        <f>IF(H17=0,B14/D16,IF(I17&lt;=D15,0,(B43-(H17*D17))/D16))</f>
        <v>0</v>
      </c>
      <c r="F16" s="1">
        <f>ROUNDUP(E16,0)</f>
        <v>0</v>
      </c>
      <c r="G16" s="1">
        <f>IF(F16=0,0,((H17*D17)+(D16*F16))-B14)</f>
        <v>0</v>
      </c>
      <c r="H16" s="6">
        <f>IF(G16&gt;D14,ROUNDDOWN(E16,0),ROUNDUP(E16,0))</f>
        <v>0</v>
      </c>
      <c r="I16" s="6">
        <f>IF(H16=0,0,B14-((H17*D17)+(H16*D16)))</f>
        <v>0</v>
      </c>
      <c r="J16" s="6">
        <f>IF(I16&lt;0,I16,"")</f>
      </c>
      <c r="K16" s="6">
        <f>IF(J16="","",D16+I16)</f>
      </c>
    </row>
    <row r="17" spans="3:11" ht="15">
      <c r="C17" s="1" t="s">
        <v>7</v>
      </c>
      <c r="D17" s="1">
        <v>3740</v>
      </c>
      <c r="E17" s="2">
        <f>IF(B14&gt;=D16,(B14/D17),0)</f>
        <v>0</v>
      </c>
      <c r="F17" s="1">
        <f>ROUNDUP(E17,0)</f>
        <v>0</v>
      </c>
      <c r="G17" s="1">
        <f>(D17*F17)-B14</f>
        <v>0</v>
      </c>
      <c r="H17" s="6">
        <f>IF(G17&gt;=D14,ROUNDDOWN(E17,0),ROUNDUP(E17,0))</f>
        <v>0</v>
      </c>
      <c r="I17" s="6">
        <f>B14-(D17*H17)</f>
        <v>0</v>
      </c>
      <c r="J17" s="6">
        <f>IF(I17&lt;0,I17,"")</f>
      </c>
      <c r="K17" s="6">
        <f>IF(J17="","",D17+I17)</f>
      </c>
    </row>
    <row r="18" ht="15">
      <c r="E18" s="2"/>
    </row>
    <row r="19" ht="15">
      <c r="E19" s="2"/>
    </row>
    <row r="20" spans="2:6" ht="15">
      <c r="B20" s="1" t="s">
        <v>11</v>
      </c>
      <c r="C20" s="1" t="s">
        <v>4</v>
      </c>
      <c r="D20" s="1">
        <v>740</v>
      </c>
      <c r="E20" s="2">
        <f>B$14/D20</f>
        <v>0</v>
      </c>
      <c r="F20" s="1">
        <f>ROUNDUP(E20,0)</f>
        <v>0</v>
      </c>
    </row>
    <row r="21" spans="3:8" ht="15">
      <c r="C21" s="1" t="s">
        <v>5</v>
      </c>
      <c r="D21" s="1">
        <v>1740</v>
      </c>
      <c r="E21" s="2">
        <f>B$14/D21</f>
        <v>0</v>
      </c>
      <c r="F21" s="1">
        <f>ROUNDUP(E21,0)</f>
        <v>0</v>
      </c>
      <c r="G21" s="3">
        <f>IF(F21&lt;F20,B14-(F21*D21),"")</f>
      </c>
      <c r="H21" s="3"/>
    </row>
    <row r="22" spans="3:11" ht="15">
      <c r="C22" s="1" t="s">
        <v>6</v>
      </c>
      <c r="D22" s="1">
        <v>2740</v>
      </c>
      <c r="E22" s="2">
        <f>B$14/D22</f>
        <v>0</v>
      </c>
      <c r="F22" s="1">
        <f>ROUNDUP(E22,0)</f>
        <v>0</v>
      </c>
      <c r="G22" s="3">
        <f>IF(F22&lt;F21,B14-(F22*D22),"")</f>
      </c>
      <c r="H22" s="5" t="s">
        <v>3</v>
      </c>
      <c r="I22" s="5" t="s">
        <v>2</v>
      </c>
      <c r="J22" s="5" t="s">
        <v>17</v>
      </c>
      <c r="K22" s="5" t="s">
        <v>13</v>
      </c>
    </row>
    <row r="23" spans="3:14" ht="15">
      <c r="C23" s="1" t="s">
        <v>7</v>
      </c>
      <c r="D23" s="1">
        <v>3740</v>
      </c>
      <c r="E23" s="2">
        <f>$B$14/D23</f>
        <v>0</v>
      </c>
      <c r="F23" s="1">
        <f>ROUNDUP(E23,0)</f>
        <v>0</v>
      </c>
      <c r="G23" s="1">
        <f>IF(F23&lt;F22,$B$14-(F23*D23),"")</f>
      </c>
      <c r="H23" s="6">
        <f>IF(F23&lt;F22,F23,IF(F22&lt;F21,F22,IF(F21&lt;F20,F21,F20)))</f>
        <v>0</v>
      </c>
      <c r="I23" s="6">
        <f>IF(F23&lt;F22,D23,IF(F22&lt;F21,D22,IF(F21&lt;D20,D21,)))</f>
        <v>1740</v>
      </c>
      <c r="J23" s="6">
        <f>IF(F23&lt;F22,G23,IF(F22&lt;F21,G22,IF(F21&lt;F20,G21,G20)))</f>
        <v>0</v>
      </c>
      <c r="K23" s="6">
        <f>I23-ABS(J23)</f>
        <v>1740</v>
      </c>
      <c r="M23" s="5" t="s">
        <v>9</v>
      </c>
      <c r="N23" s="7">
        <f>IF(K23=I23,"",IF(AND(OR(K14&lt;500,K14=""),OR(K15&lt;500,K15=""),OR(K16&lt;500,K16=""),OR(K17&lt;500,K17="")),CONCATENATE(H23," Stange/en ",I23,"mm, eine Stange auf ",$K$23,"mm"),""))</f>
      </c>
    </row>
    <row r="24" spans="4:11" ht="15">
      <c r="D24" s="3"/>
      <c r="E24" s="3"/>
      <c r="F24" s="3"/>
      <c r="G24" s="3"/>
      <c r="H24" s="3"/>
      <c r="I24" s="3"/>
      <c r="J24" s="3"/>
      <c r="K24" s="3"/>
    </row>
    <row r="25" spans="4:20" ht="15">
      <c r="D25" s="1" t="s">
        <v>2</v>
      </c>
      <c r="E25" s="1" t="s">
        <v>12</v>
      </c>
      <c r="G25" s="1" t="s">
        <v>57</v>
      </c>
      <c r="H25" s="1" t="s">
        <v>13</v>
      </c>
      <c r="I25" s="1" t="s">
        <v>14</v>
      </c>
      <c r="K25" s="1" t="s">
        <v>57</v>
      </c>
      <c r="L25" s="1" t="s">
        <v>13</v>
      </c>
      <c r="M25" s="1" t="s">
        <v>15</v>
      </c>
      <c r="O25" s="1" t="s">
        <v>57</v>
      </c>
      <c r="P25" s="1" t="s">
        <v>13</v>
      </c>
      <c r="Q25" s="1" t="s">
        <v>16</v>
      </c>
      <c r="S25" s="1" t="s">
        <v>57</v>
      </c>
      <c r="T25" s="1" t="s">
        <v>13</v>
      </c>
    </row>
    <row r="26" spans="4:20" ht="15">
      <c r="D26" s="1">
        <v>740</v>
      </c>
      <c r="E26" s="1">
        <f>IF(N11="",H2,0)</f>
        <v>1</v>
      </c>
      <c r="F26" s="1">
        <f>IF(N11="",$K2,0)</f>
        <v>0</v>
      </c>
      <c r="G26" s="1">
        <f>IF(F26&gt;0,SUM(E$26:E$29)-1,0)</f>
        <v>0</v>
      </c>
      <c r="H26" s="1">
        <f>F26-G26*10</f>
        <v>0</v>
      </c>
      <c r="I26" s="1">
        <f>IF(L11=0,IF(N11&lt;&gt;"",IF(I11=D26,H11,0),0),IF(I11=D26,L11,0))</f>
        <v>0</v>
      </c>
      <c r="J26" s="1">
        <f>IF(AND(N11&lt;&gt;"",L11=0),IF(I11=D26,K11,0),0)</f>
        <v>0</v>
      </c>
      <c r="K26" s="1">
        <f>IF(J26&gt;0,SUM(I$26:I$29)-1,0)</f>
        <v>0</v>
      </c>
      <c r="L26" s="1">
        <f>J26-K26*10</f>
        <v>0</v>
      </c>
      <c r="M26" s="1">
        <f>IF(AND(K11&lt;500,N23=""),H14,0)</f>
        <v>0</v>
      </c>
      <c r="N26" s="1">
        <f>IF(AND(K11&lt;500,N23=""),K14,0)</f>
        <v>0</v>
      </c>
      <c r="O26" s="1">
        <f>IF(N26&gt;0,SUM(M$26:M$29)-1,0)</f>
        <v>0</v>
      </c>
      <c r="P26" s="1">
        <f>N26-O26*10</f>
        <v>0</v>
      </c>
      <c r="Q26" s="1">
        <f>IF(N23&lt;&gt;"",IF(D26=I23,H23,0),0)</f>
        <v>0</v>
      </c>
      <c r="R26" s="1">
        <f>IF(N23&lt;&gt;"",IF(D26=I23,K23,0),0)</f>
        <v>0</v>
      </c>
      <c r="S26" s="1">
        <f>IF(R26&gt;0,SUM(Q$26:Q$29)-1,0)</f>
        <v>0</v>
      </c>
      <c r="T26" s="1">
        <f>R26-S26*10</f>
        <v>0</v>
      </c>
    </row>
    <row r="27" spans="4:20" ht="15">
      <c r="D27" s="1">
        <v>1740</v>
      </c>
      <c r="E27" s="1">
        <f>IF(N11="",H3,0)</f>
        <v>0</v>
      </c>
      <c r="F27" s="1">
        <f>IF(N11="",$K3,0)</f>
        <v>0</v>
      </c>
      <c r="G27" s="1">
        <f>IF(F27&gt;0,SUM(E$26:E$29)-1,0)</f>
        <v>0</v>
      </c>
      <c r="H27" s="1">
        <f>F27-G27*10</f>
        <v>0</v>
      </c>
      <c r="I27" s="1">
        <f>IF(L11=0,IF(N11&lt;&gt;"",IF(I11=D27,H11,0),0),IF($I$11=D27,$L$11,0))</f>
        <v>0</v>
      </c>
      <c r="J27" s="1">
        <f>IF(AND(N11&lt;&gt;"",L11=0),IF(I11=D27,K11,0),0)</f>
        <v>0</v>
      </c>
      <c r="K27" s="1">
        <f>IF(J27&gt;0,SUM(I$26:I$29)-1,0)</f>
        <v>0</v>
      </c>
      <c r="L27" s="1">
        <f>J27-K27*10</f>
        <v>0</v>
      </c>
      <c r="M27" s="1">
        <f>IF(AND(K11&lt;500,N23=""),H15,0)</f>
        <v>0</v>
      </c>
      <c r="N27" s="1">
        <f>IF(AND(K11&lt;500,N23=""),K15,0)</f>
        <v>0</v>
      </c>
      <c r="O27" s="1">
        <f>IF(N27&gt;0,SUM(M$26:M$29)-1,0)</f>
        <v>0</v>
      </c>
      <c r="P27" s="1">
        <f>N27-O27*10</f>
        <v>0</v>
      </c>
      <c r="Q27" s="1">
        <f>IF(N23&lt;&gt;"",IF(D27=I23,H23,0),0)</f>
        <v>0</v>
      </c>
      <c r="R27" s="1">
        <f>IF(N23&lt;&gt;"",IF(D27=I23,K23,0),0)</f>
        <v>0</v>
      </c>
      <c r="S27" s="1">
        <f>IF(R27&gt;0,SUM(Q$26:Q$29)-1,0)</f>
        <v>0</v>
      </c>
      <c r="T27" s="1">
        <f>R27-S27*10</f>
        <v>0</v>
      </c>
    </row>
    <row r="28" spans="4:20" ht="15">
      <c r="D28" s="1">
        <v>2740</v>
      </c>
      <c r="E28" s="1">
        <f>IF(N11="",H4,0)</f>
        <v>0</v>
      </c>
      <c r="F28" s="1">
        <f>IF(N11="",$K4,0)</f>
        <v>0</v>
      </c>
      <c r="G28" s="1">
        <f>IF(F28&gt;0,SUM(E$26:E$29)-1,0)</f>
        <v>0</v>
      </c>
      <c r="H28" s="1">
        <f>F28-G28*10</f>
        <v>0</v>
      </c>
      <c r="I28" s="1">
        <f>IF(L11=0,IF(N11&lt;&gt;"",IF(I11=D28,H11,0),0),IF($I$11=D28,$L$11,0))</f>
        <v>0</v>
      </c>
      <c r="J28" s="1">
        <f>IF(AND(N11&lt;&gt;"",L11=0),IF(I11=D28,K11,0),0)</f>
        <v>0</v>
      </c>
      <c r="K28" s="1">
        <f>IF(J28&gt;0,SUM(I$26:I$29)-1,0)</f>
        <v>0</v>
      </c>
      <c r="L28" s="1">
        <f>J28-K28*10</f>
        <v>0</v>
      </c>
      <c r="M28" s="1">
        <f>IF(AND(K11&lt;500,N23=""),H16,0)</f>
        <v>0</v>
      </c>
      <c r="N28" s="1">
        <f>IF(AND(K11&lt;500,N23=""),K16,0)</f>
        <v>0</v>
      </c>
      <c r="O28" s="1">
        <f>IF(N28&gt;0,SUM(M$26:M$29)-1,0)</f>
        <v>0</v>
      </c>
      <c r="P28" s="1">
        <f>N28-O28*10</f>
        <v>0</v>
      </c>
      <c r="Q28" s="1">
        <f>IF(N23&lt;&gt;"",IF(D28=I23,H23,0),0)</f>
        <v>0</v>
      </c>
      <c r="R28" s="1">
        <f>IF(N23&lt;&gt;"",IF(D28=I23,K23,0),0)</f>
        <v>0</v>
      </c>
      <c r="S28" s="1">
        <f>IF(R28&gt;0,SUM(Q$26:Q$29)-1,0)</f>
        <v>0</v>
      </c>
      <c r="T28" s="1">
        <f>R28-S28*10</f>
        <v>0</v>
      </c>
    </row>
    <row r="29" spans="4:20" ht="15">
      <c r="D29" s="1">
        <v>3740</v>
      </c>
      <c r="E29" s="1">
        <f>IF(N11="",H5,0)</f>
        <v>0</v>
      </c>
      <c r="F29" s="1">
        <f>IF(N11="",$K5,0)</f>
        <v>0</v>
      </c>
      <c r="G29" s="1">
        <f>IF(F29&gt;0,SUM(E$26:E$29)-1,0)</f>
        <v>0</v>
      </c>
      <c r="H29" s="1">
        <f>F29-G29*10</f>
        <v>0</v>
      </c>
      <c r="I29" s="1">
        <f>IF(L11=0,IF(N11&lt;&gt;"",IF(I11=D29,H11,0),0),IF($I$11=D29,$L$11,0))</f>
        <v>0</v>
      </c>
      <c r="J29" s="1">
        <f>IF(AND(N11&lt;&gt;"",$L$11=0),IF($I$11=D29,$K$11,0),0)</f>
        <v>0</v>
      </c>
      <c r="K29" s="1">
        <f>IF(J29&gt;0,SUM(I$26:I$29)-1,0)</f>
        <v>0</v>
      </c>
      <c r="L29" s="1">
        <f>J29-K29*10</f>
        <v>0</v>
      </c>
      <c r="M29" s="1">
        <f>IF(AND(K11&lt;500,N23=""),H17,0)</f>
        <v>0</v>
      </c>
      <c r="N29" s="1">
        <f>IF(AND(K11&lt;500,N23=""),K17,0)</f>
        <v>0</v>
      </c>
      <c r="O29" s="1">
        <f>IF(N29&gt;0,SUM(M$26:M$29)-1,0)</f>
        <v>0</v>
      </c>
      <c r="P29" s="1">
        <f>N29-O29*10</f>
        <v>0</v>
      </c>
      <c r="Q29" s="1">
        <f>IF(N23&lt;&gt;"",IF(D29=I23,H23,0),0)</f>
        <v>0</v>
      </c>
      <c r="R29" s="1">
        <f>IF(N23&lt;&gt;"",IF(D29=I23,K23,0),0)</f>
        <v>0</v>
      </c>
      <c r="S29" s="1">
        <f>IF(R29&gt;0,SUM(Q$26:Q$29)-1,0)</f>
        <v>0</v>
      </c>
      <c r="T29" s="1">
        <f>R29-S29*10</f>
        <v>0</v>
      </c>
    </row>
    <row r="30" spans="7:19" ht="15">
      <c r="G30" s="1">
        <f>SUM(G26:G29)</f>
        <v>0</v>
      </c>
      <c r="K30" s="1">
        <f>SUM(K26:K29)</f>
        <v>0</v>
      </c>
      <c r="O30" s="1">
        <f>SUM(O26:O29)</f>
        <v>0</v>
      </c>
      <c r="S30" s="1">
        <f>SUM(S26:S29)</f>
        <v>0</v>
      </c>
    </row>
    <row r="32" spans="4:7" ht="15">
      <c r="D32" s="11" t="s">
        <v>9</v>
      </c>
      <c r="E32" s="11" t="s">
        <v>3</v>
      </c>
      <c r="F32" s="11" t="s">
        <v>13</v>
      </c>
      <c r="G32" s="11" t="s">
        <v>57</v>
      </c>
    </row>
    <row r="33" spans="4:7" ht="15">
      <c r="D33" s="11">
        <v>740</v>
      </c>
      <c r="E33" s="6">
        <f>SUM(E26,I26,M26,Q26)</f>
        <v>1</v>
      </c>
      <c r="F33" s="6">
        <f>IF(T26&lt;&gt;0,T26,IF(P26&lt;&gt;0,P26,IF(L26&lt;&gt;0,L26,IF(H26&lt;&gt;0,H26,""))))</f>
      </c>
      <c r="G33" s="6">
        <f>SUM(G30,K30,O30,S30)</f>
        <v>0</v>
      </c>
    </row>
    <row r="34" spans="4:9" ht="15">
      <c r="D34" s="11">
        <v>1740</v>
      </c>
      <c r="E34" s="6">
        <f>SUM(E27,I27,M27,Q27)</f>
        <v>0</v>
      </c>
      <c r="F34" s="6">
        <f>IF(T27&lt;&gt;0,T27,IF(P27&lt;&gt;0,P27,IF(L27&lt;&gt;0,L27,IF(H27&lt;&gt;0,H27,""))))</f>
      </c>
      <c r="G34" s="3"/>
      <c r="H34" s="3"/>
      <c r="I34" s="3"/>
    </row>
    <row r="35" spans="4:9" ht="15">
      <c r="D35" s="11">
        <v>2740</v>
      </c>
      <c r="E35" s="6">
        <f>SUM(E28,I28,M28,Q28)</f>
        <v>0</v>
      </c>
      <c r="F35" s="6">
        <f>IF(T28&lt;&gt;0,T28,IF(P28&lt;&gt;0,P28,IF(L28&lt;&gt;0,L28,IF(H28&lt;&gt;0,H28,""))))</f>
      </c>
      <c r="G35" s="3"/>
      <c r="H35" s="3"/>
      <c r="I35" s="3"/>
    </row>
    <row r="36" spans="4:9" ht="15">
      <c r="D36" s="11">
        <v>3740</v>
      </c>
      <c r="E36" s="6">
        <f>SUM(E29,I29,M29,Q29)</f>
        <v>0</v>
      </c>
      <c r="F36" s="6">
        <f>IF(T29&lt;&gt;0,T29,IF(P29&lt;&gt;0,P29,IF(L29&lt;&gt;0,L29,IF(H29&lt;&gt;0,H29,""))))</f>
      </c>
      <c r="G36" s="3"/>
      <c r="H36" s="3"/>
      <c r="I36" s="3"/>
    </row>
    <row r="37" spans="4:6" ht="15">
      <c r="D37" s="11" t="s">
        <v>18</v>
      </c>
      <c r="E37" s="86">
        <f>B2</f>
        <v>740</v>
      </c>
      <c r="F37" s="87"/>
    </row>
    <row r="39" spans="4:5" ht="15">
      <c r="D39" s="14">
        <f>IF(Höhe!F33="",Höhe!E33*2,Höhe!E33*2-2)</f>
        <v>2</v>
      </c>
      <c r="E39" s="14">
        <f>IF(Höhe!D39=0,"",Höhe!D39)</f>
        <v>2</v>
      </c>
    </row>
    <row r="40" spans="4:5" ht="15">
      <c r="D40" s="14">
        <f>IF(Höhe!F34="",Höhe!E34*2,Höhe!E34*2-2)</f>
        <v>0</v>
      </c>
      <c r="E40" s="14">
        <f>IF(Höhe!D40=0,"",Höhe!D40)</f>
      </c>
    </row>
    <row r="41" spans="4:5" ht="15">
      <c r="D41" s="14">
        <f>IF(Höhe!F35="",Höhe!E35*2,Höhe!E35*2-2)</f>
        <v>0</v>
      </c>
      <c r="E41" s="14">
        <f>IF(Höhe!D41=0,"",Höhe!D41)</f>
      </c>
    </row>
    <row r="42" spans="4:5" ht="15">
      <c r="D42" s="14">
        <f>IF(Höhe!F36="",Höhe!E36*2,Höhe!E36*2-2)</f>
        <v>0</v>
      </c>
      <c r="E42" s="14">
        <f>IF(Höhe!D42=0,"",Höhe!D42)</f>
      </c>
    </row>
  </sheetData>
  <sheetProtection/>
  <mergeCells count="1">
    <mergeCell ref="E37:F3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9" sqref="E9"/>
    </sheetView>
  </sheetViews>
  <sheetFormatPr defaultColWidth="12" defaultRowHeight="11.25"/>
  <sheetData>
    <row r="1" spans="1:10" ht="11.25">
      <c r="A1" s="12"/>
      <c r="B1" s="12"/>
      <c r="C1" s="12"/>
      <c r="D1" s="12"/>
      <c r="E1" s="13"/>
      <c r="F1" s="13"/>
      <c r="G1" s="13"/>
      <c r="H1" s="13"/>
      <c r="I1" s="13"/>
      <c r="J1" s="13"/>
    </row>
    <row r="2" spans="2:10" ht="11.25">
      <c r="B2" t="s">
        <v>27</v>
      </c>
      <c r="D2" t="s">
        <v>28</v>
      </c>
      <c r="E2">
        <f>Eingabe!D9/1800</f>
        <v>0.5555555555555556</v>
      </c>
      <c r="F2">
        <f>IF(E2&lt;0.51,1,ROUNDUP(E2,0))</f>
        <v>1</v>
      </c>
      <c r="G2" t="s">
        <v>30</v>
      </c>
      <c r="H2">
        <f>F2*2</f>
        <v>2</v>
      </c>
      <c r="J2" s="13"/>
    </row>
    <row r="3" ht="11.25">
      <c r="J3" s="13"/>
    </row>
    <row r="4" ht="11.25">
      <c r="J4" s="13"/>
    </row>
    <row r="5" ht="11.25">
      <c r="J5" s="13"/>
    </row>
    <row r="6" ht="11.25">
      <c r="J6" s="13"/>
    </row>
    <row r="7" ht="11.25">
      <c r="J7" s="13"/>
    </row>
    <row r="8" spans="4:10" ht="11.25">
      <c r="D8" t="s">
        <v>29</v>
      </c>
      <c r="E8">
        <f>Eingabe!H9/1800</f>
        <v>0.5555555555555556</v>
      </c>
      <c r="F8">
        <f>IF(E8&lt;0.51,1,ROUNDUP(E8,0))</f>
        <v>1</v>
      </c>
      <c r="G8" t="s">
        <v>30</v>
      </c>
      <c r="H8">
        <f>F8*2</f>
        <v>2</v>
      </c>
      <c r="J8" s="13"/>
    </row>
    <row r="9" spans="1:10" ht="11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1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1.25">
      <c r="A11" s="13"/>
      <c r="B11" s="13" t="s">
        <v>35</v>
      </c>
      <c r="C11" s="13"/>
      <c r="D11" s="13">
        <f>(H2+H8)/5</f>
        <v>0.8</v>
      </c>
      <c r="E11" s="13">
        <f>ROUNDUP(D11,0)</f>
        <v>1</v>
      </c>
      <c r="F11" s="13" t="s">
        <v>36</v>
      </c>
      <c r="G11" s="13"/>
      <c r="H11" s="13"/>
      <c r="I11" s="13"/>
      <c r="J11" s="13"/>
    </row>
    <row r="12" spans="1:10" ht="11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1.25">
      <c r="A13" s="13"/>
      <c r="B13" s="13" t="s">
        <v>37</v>
      </c>
      <c r="C13" s="13"/>
      <c r="D13" s="13">
        <f>((Eingabe!D9+Eingabe!D9)+(Eingabe!H9+Eingabe!H9))/250</f>
        <v>16</v>
      </c>
      <c r="E13" s="13">
        <f>ROUNDUP((D13/20),0)</f>
        <v>1</v>
      </c>
      <c r="F13" s="13" t="s">
        <v>40</v>
      </c>
      <c r="G13" s="13"/>
      <c r="H13" s="13"/>
      <c r="I13" s="13"/>
      <c r="J13" s="13"/>
    </row>
    <row r="14" spans="1:10" ht="11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1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1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1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1.25">
      <c r="A18" s="13"/>
      <c r="B18" s="13" t="s">
        <v>42</v>
      </c>
      <c r="C18" s="13"/>
      <c r="D18" s="13">
        <f>D13+4</f>
        <v>20</v>
      </c>
      <c r="E18" s="13">
        <f>ROUNDUP((D18/20),0)</f>
        <v>1</v>
      </c>
      <c r="F18" s="13" t="s">
        <v>40</v>
      </c>
      <c r="G18" s="13"/>
      <c r="H18" s="13"/>
      <c r="I18" s="13"/>
      <c r="J18" s="13"/>
    </row>
    <row r="19" spans="1:10" ht="11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1.25">
      <c r="A20" s="13"/>
      <c r="B20" s="13" t="s">
        <v>43</v>
      </c>
      <c r="C20" s="13"/>
      <c r="D20" s="13">
        <f>D13+4</f>
        <v>20</v>
      </c>
      <c r="E20" s="13">
        <f>ROUNDUP((D20/20),0)</f>
        <v>1</v>
      </c>
      <c r="F20" s="13" t="s">
        <v>40</v>
      </c>
      <c r="G20" s="13"/>
      <c r="H20" s="13"/>
      <c r="I20" s="13"/>
      <c r="J20" s="13"/>
    </row>
    <row r="21" spans="1:10" ht="11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1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1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1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1.25">
      <c r="A25" s="13"/>
      <c r="B25" s="13" t="s">
        <v>44</v>
      </c>
      <c r="C25" s="13"/>
      <c r="D25" s="13">
        <f>(Eingabe!D9*2)+(Eingabe!H9*2)</f>
        <v>4000</v>
      </c>
      <c r="E25" s="13">
        <f>ROUNDUP((D25/50000),0)</f>
        <v>1</v>
      </c>
      <c r="F25" s="13" t="s">
        <v>45</v>
      </c>
      <c r="G25" s="13"/>
      <c r="H25" s="13"/>
      <c r="I25" s="13"/>
      <c r="J25" s="13"/>
    </row>
    <row r="26" spans="1:10" ht="11.2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1.2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1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1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1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1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1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1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1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1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1.25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</dc:creator>
  <cp:keywords/>
  <dc:description/>
  <cp:lastModifiedBy>diego</cp:lastModifiedBy>
  <cp:lastPrinted>2010-04-14T11:55:28Z</cp:lastPrinted>
  <dcterms:created xsi:type="dcterms:W3CDTF">2010-04-07T08:27:12Z</dcterms:created>
  <dcterms:modified xsi:type="dcterms:W3CDTF">2010-05-20T13:30:03Z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